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np\Desktop\Working Folder\GLEEM\"/>
    </mc:Choice>
  </mc:AlternateContent>
  <xr:revisionPtr revIDLastSave="0" documentId="13_ncr:1_{745AE557-1018-4FFF-BF44-5BC3B0A04300}" xr6:coauthVersionLast="47" xr6:coauthVersionMax="47" xr10:uidLastSave="{00000000-0000-0000-0000-000000000000}"/>
  <bookViews>
    <workbookView xWindow="-96" yWindow="-96" windowWidth="23232" windowHeight="12432" activeTab="3" xr2:uid="{9F86D29A-594A-47CA-8412-DCF369A3DD5A}"/>
  </bookViews>
  <sheets>
    <sheet name="Overview" sheetId="1" r:id="rId1"/>
    <sheet name="Substitution Rates" sheetId="4" r:id="rId2"/>
    <sheet name="Industry Data" sheetId="3" r:id="rId3"/>
    <sheet name="Downstream EFs" sheetId="2" r:id="rId4"/>
    <sheet name="Multitype Fuels" sheetId="6" r:id="rId5"/>
    <sheet name="Conversion Factor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O4" i="1" s="1"/>
  <c r="D4" i="1"/>
  <c r="E4" i="1"/>
  <c r="O3" i="1"/>
  <c r="O5" i="1"/>
  <c r="O6" i="1"/>
  <c r="O7" i="1"/>
  <c r="O2" i="1"/>
  <c r="D10" i="6"/>
  <c r="E13" i="2" s="1"/>
  <c r="C10" i="6"/>
  <c r="D13" i="2" s="1"/>
  <c r="B10" i="6"/>
  <c r="C13" i="2" s="1"/>
  <c r="D5" i="6"/>
  <c r="E4" i="2" s="1"/>
  <c r="C5" i="6"/>
  <c r="D4" i="2" s="1"/>
  <c r="B5" i="6"/>
  <c r="C4" i="2" s="1"/>
  <c r="B15" i="2"/>
  <c r="C15" i="2" l="1"/>
  <c r="E15" i="2"/>
  <c r="D15" i="2"/>
  <c r="J2" i="1" s="1"/>
  <c r="K3" i="1"/>
  <c r="J3" i="1"/>
  <c r="I3" i="1"/>
  <c r="D4" i="4"/>
  <c r="D2" i="4"/>
  <c r="F3" i="1"/>
  <c r="H2" i="1"/>
  <c r="F2" i="1"/>
  <c r="B25" i="2"/>
  <c r="D25" i="2" s="1"/>
  <c r="H3" i="1"/>
  <c r="G3" i="1"/>
  <c r="G2" i="1"/>
  <c r="E4" i="4"/>
  <c r="E3" i="4"/>
  <c r="E2" i="4"/>
  <c r="D3" i="4"/>
  <c r="P2" i="1" l="1"/>
  <c r="P4" i="1" s="1"/>
  <c r="C25" i="2"/>
  <c r="L3" i="1"/>
  <c r="M3" i="1"/>
  <c r="N3" i="1"/>
  <c r="G4" i="1"/>
  <c r="M2" i="1"/>
  <c r="J4" i="1"/>
  <c r="H4" i="1"/>
  <c r="F4" i="1"/>
  <c r="P3" i="1"/>
  <c r="Q3" i="1"/>
  <c r="J6" i="1"/>
  <c r="J5" i="1"/>
  <c r="H5" i="1"/>
  <c r="F5" i="1"/>
  <c r="G5" i="1"/>
  <c r="H6" i="1"/>
  <c r="G6" i="1"/>
  <c r="F6" i="1"/>
  <c r="K2" i="1"/>
  <c r="N2" i="1" s="1"/>
  <c r="I2" i="1"/>
  <c r="I4" i="1" s="1"/>
  <c r="E25" i="2"/>
  <c r="R3" i="1" l="1"/>
  <c r="M4" i="1"/>
  <c r="M6" i="1"/>
  <c r="L4" i="1"/>
  <c r="M5" i="1"/>
  <c r="L2" i="1"/>
  <c r="G7" i="1"/>
  <c r="F7" i="1"/>
  <c r="J7" i="1"/>
  <c r="K4" i="1"/>
  <c r="N4" i="1" s="1"/>
  <c r="H7" i="1"/>
  <c r="P6" i="1"/>
  <c r="Q2" i="1"/>
  <c r="P5" i="1"/>
  <c r="K6" i="1"/>
  <c r="N6" i="1" s="1"/>
  <c r="I6" i="1"/>
  <c r="L6" i="1" s="1"/>
  <c r="I5" i="1"/>
  <c r="L5" i="1" s="1"/>
  <c r="K5" i="1"/>
  <c r="N5" i="1" s="1"/>
  <c r="M7" i="1" l="1"/>
  <c r="Q4" i="1"/>
  <c r="R4" i="1" s="1"/>
  <c r="R2" i="1"/>
  <c r="P7" i="1"/>
  <c r="I7" i="1"/>
  <c r="L7" i="1" s="1"/>
  <c r="K7" i="1"/>
  <c r="N7" i="1" s="1"/>
  <c r="Q6" i="1"/>
  <c r="R6" i="1" s="1"/>
  <c r="Q5" i="1"/>
  <c r="R5" i="1" s="1"/>
  <c r="Q7" i="1" l="1"/>
  <c r="R7" i="1" s="1"/>
</calcChain>
</file>

<file path=xl/sharedStrings.xml><?xml version="1.0" encoding="utf-8"?>
<sst xmlns="http://schemas.openxmlformats.org/spreadsheetml/2006/main" count="106" uniqueCount="90">
  <si>
    <t>Oil</t>
  </si>
  <si>
    <t>Asphalt/Road Oil</t>
  </si>
  <si>
    <t>Aviation Gasoline</t>
  </si>
  <si>
    <t>Distilate Fuel Oil</t>
  </si>
  <si>
    <t>Jet Fuel</t>
  </si>
  <si>
    <t>Kerosene</t>
  </si>
  <si>
    <t>Propane</t>
  </si>
  <si>
    <t>Propylene</t>
  </si>
  <si>
    <t>HGL</t>
  </si>
  <si>
    <t>Lubricants</t>
  </si>
  <si>
    <t>Motor Gasoline</t>
  </si>
  <si>
    <t>Residual Fuel Oil</t>
  </si>
  <si>
    <t>Other</t>
  </si>
  <si>
    <t>Natural Gas</t>
  </si>
  <si>
    <t>Coal</t>
  </si>
  <si>
    <t>Weighted Average</t>
  </si>
  <si>
    <t>Industrial Coking</t>
  </si>
  <si>
    <t>Industrial Sector</t>
  </si>
  <si>
    <t>Electric Power Sector</t>
  </si>
  <si>
    <t>Commericial Sector</t>
  </si>
  <si>
    <t>Petroleum Coke</t>
  </si>
  <si>
    <t>Residual Fuel Oil 5</t>
  </si>
  <si>
    <t>Residual Fuel Oil 6</t>
  </si>
  <si>
    <t>Residual Fuel Oil Average</t>
  </si>
  <si>
    <t>Not Combusted (Percent)</t>
  </si>
  <si>
    <t>Oil Products</t>
  </si>
  <si>
    <t>Multitype Fuel</t>
  </si>
  <si>
    <t>Natural Gas Product</t>
  </si>
  <si>
    <t>Coal Products</t>
  </si>
  <si>
    <t>Conversion</t>
  </si>
  <si>
    <t>Fuel</t>
  </si>
  <si>
    <t>Oil Substitutions</t>
  </si>
  <si>
    <t>Oil Production</t>
  </si>
  <si>
    <t>Gas Production</t>
  </si>
  <si>
    <t>Total Production</t>
  </si>
  <si>
    <t>Gas Substitutions</t>
  </si>
  <si>
    <t>Total Substitutions</t>
  </si>
  <si>
    <t>N/A</t>
  </si>
  <si>
    <t>Oil Production Substitutes (bbls, mcf, short tons)</t>
  </si>
  <si>
    <t>Natural Gas Substitutes (bbls, mcf, short tons)</t>
  </si>
  <si>
    <t>1 short ton coal to BTUs</t>
  </si>
  <si>
    <t>1 natural gas mcf to BTUs</t>
  </si>
  <si>
    <t>1 oil bbl to BTUs</t>
  </si>
  <si>
    <t>1 kg to metric tons</t>
  </si>
  <si>
    <t>1 bbl to gallons</t>
  </si>
  <si>
    <t>Value</t>
  </si>
  <si>
    <t>Production Gain (Ratio)</t>
  </si>
  <si>
    <t>Production (thousands of short tons)</t>
  </si>
  <si>
    <t>Distillate Fuel Oil 1</t>
  </si>
  <si>
    <t>Distillate Fuel Oil 2</t>
  </si>
  <si>
    <t>Distillate Fuel Oil 4</t>
  </si>
  <si>
    <t>Distillate Fuel Oil Average</t>
  </si>
  <si>
    <r>
      <t>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(kg/gal)</t>
    </r>
  </si>
  <si>
    <r>
      <t>CH</t>
    </r>
    <r>
      <rPr>
        <vertAlign val="subscript"/>
        <sz val="14"/>
        <color theme="1"/>
        <rFont val="Calibri"/>
        <family val="2"/>
        <scheme val="minor"/>
      </rPr>
      <t>4</t>
    </r>
    <r>
      <rPr>
        <sz val="14"/>
        <color theme="1"/>
        <rFont val="Calibri"/>
        <family val="2"/>
        <scheme val="minor"/>
      </rPr>
      <t xml:space="preserve"> (kg/gal)</t>
    </r>
  </si>
  <si>
    <r>
      <t>N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O (kg/gal)</t>
    </r>
  </si>
  <si>
    <t>Production (thousands of bbls/day)</t>
  </si>
  <si>
    <r>
      <t>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(kg/short ton)</t>
    </r>
  </si>
  <si>
    <r>
      <t>CH</t>
    </r>
    <r>
      <rPr>
        <vertAlign val="subscript"/>
        <sz val="14"/>
        <color theme="1"/>
        <rFont val="Calibri"/>
        <family val="2"/>
        <scheme val="minor"/>
      </rPr>
      <t>4</t>
    </r>
    <r>
      <rPr>
        <sz val="14"/>
        <color theme="1"/>
        <rFont val="Calibri"/>
        <family val="2"/>
        <scheme val="minor"/>
      </rPr>
      <t xml:space="preserve"> (kg/short ton)</t>
    </r>
  </si>
  <si>
    <r>
      <t>N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O (kg/short ton)</t>
    </r>
  </si>
  <si>
    <t>Production (thousands of cubic ft)</t>
  </si>
  <si>
    <r>
      <t>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(kg/thousands of cubic ft)</t>
    </r>
  </si>
  <si>
    <r>
      <t>CH</t>
    </r>
    <r>
      <rPr>
        <vertAlign val="subscript"/>
        <sz val="14"/>
        <color theme="1"/>
        <rFont val="Calibri"/>
        <family val="2"/>
        <scheme val="minor"/>
      </rPr>
      <t>4</t>
    </r>
    <r>
      <rPr>
        <sz val="14"/>
        <color theme="1"/>
        <rFont val="Calibri"/>
        <family val="2"/>
        <scheme val="minor"/>
      </rPr>
      <t xml:space="preserve"> (kg/thousands of cubic ft)</t>
    </r>
  </si>
  <si>
    <r>
      <t>N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O (kg/thousands of cubic ft)</t>
    </r>
  </si>
  <si>
    <r>
      <t>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(millions of metric tons)</t>
    </r>
  </si>
  <si>
    <r>
      <t>CH</t>
    </r>
    <r>
      <rPr>
        <vertAlign val="subscript"/>
        <sz val="14"/>
        <color theme="1"/>
        <rFont val="Calibri"/>
        <family val="2"/>
        <scheme val="minor"/>
      </rPr>
      <t>4</t>
    </r>
    <r>
      <rPr>
        <sz val="14"/>
        <color theme="1"/>
        <rFont val="Calibri"/>
        <family val="2"/>
        <scheme val="minor"/>
      </rPr>
      <t xml:space="preserve"> (millions of metric tons)</t>
    </r>
  </si>
  <si>
    <r>
      <t>N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O (millions of metric tons)</t>
    </r>
  </si>
  <si>
    <t>National Production (thousands of bbls, millions of cubic ft, thousands of short tons)</t>
  </si>
  <si>
    <t>Oil Production Substitutes (percent)</t>
  </si>
  <si>
    <t>Natural Gas Production Substitutes (percent)</t>
  </si>
  <si>
    <t>Production (bbls, mcf, short tons)</t>
  </si>
  <si>
    <r>
      <t>Upstream in CO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>e (metric tons)</t>
    </r>
  </si>
  <si>
    <r>
      <t>Midstream in CO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>e (metric tons)</t>
    </r>
  </si>
  <si>
    <r>
      <t>Downstream in CO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>e (metric tons)</t>
    </r>
  </si>
  <si>
    <r>
      <t>Total  in CO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>e (metric tons)</t>
    </r>
  </si>
  <si>
    <r>
      <t>CO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 xml:space="preserve"> Upstream (metric tons)</t>
    </r>
  </si>
  <si>
    <r>
      <t>CH</t>
    </r>
    <r>
      <rPr>
        <b/>
        <vertAlign val="subscript"/>
        <sz val="14"/>
        <color theme="0"/>
        <rFont val="Calibri"/>
        <family val="2"/>
        <scheme val="minor"/>
      </rPr>
      <t>4</t>
    </r>
    <r>
      <rPr>
        <b/>
        <sz val="14"/>
        <color theme="0"/>
        <rFont val="Calibri"/>
        <family val="2"/>
        <scheme val="minor"/>
      </rPr>
      <t xml:space="preserve"> Upstream (metric tons)</t>
    </r>
  </si>
  <si>
    <r>
      <t>N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>O Upstream (metric tons)</t>
    </r>
  </si>
  <si>
    <r>
      <t>CO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 xml:space="preserve"> Midstream (metric tons)</t>
    </r>
  </si>
  <si>
    <r>
      <t>CH</t>
    </r>
    <r>
      <rPr>
        <b/>
        <vertAlign val="subscript"/>
        <sz val="14"/>
        <color theme="0"/>
        <rFont val="Calibri"/>
        <family val="2"/>
        <scheme val="minor"/>
      </rPr>
      <t>4</t>
    </r>
    <r>
      <rPr>
        <b/>
        <sz val="14"/>
        <color theme="0"/>
        <rFont val="Calibri"/>
        <family val="2"/>
        <scheme val="minor"/>
      </rPr>
      <t xml:space="preserve"> Midstream (metric tons)</t>
    </r>
  </si>
  <si>
    <r>
      <t>N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>O Midstream (metric tons)</t>
    </r>
  </si>
  <si>
    <r>
      <t>CO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 xml:space="preserve"> Downstream (metric tons)</t>
    </r>
  </si>
  <si>
    <r>
      <t>CH</t>
    </r>
    <r>
      <rPr>
        <b/>
        <vertAlign val="subscript"/>
        <sz val="14"/>
        <color theme="0"/>
        <rFont val="Calibri"/>
        <family val="2"/>
        <scheme val="minor"/>
      </rPr>
      <t>4</t>
    </r>
    <r>
      <rPr>
        <b/>
        <sz val="14"/>
        <color theme="0"/>
        <rFont val="Calibri"/>
        <family val="2"/>
        <scheme val="minor"/>
      </rPr>
      <t xml:space="preserve"> Downstream (metric tons)</t>
    </r>
  </si>
  <si>
    <r>
      <t>N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>O Downstream (metric tons)</t>
    </r>
  </si>
  <si>
    <r>
      <t>CO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 xml:space="preserve"> Total (metric tons)</t>
    </r>
  </si>
  <si>
    <r>
      <t>CH</t>
    </r>
    <r>
      <rPr>
        <b/>
        <vertAlign val="subscript"/>
        <sz val="14"/>
        <color theme="0"/>
        <rFont val="Calibri"/>
        <family val="2"/>
        <scheme val="minor"/>
      </rPr>
      <t>4</t>
    </r>
    <r>
      <rPr>
        <b/>
        <sz val="14"/>
        <color theme="0"/>
        <rFont val="Calibri"/>
        <family val="2"/>
        <scheme val="minor"/>
      </rPr>
      <t xml:space="preserve"> Total (metric tons)</t>
    </r>
  </si>
  <si>
    <r>
      <t>N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>O Total (metric tons)</t>
    </r>
  </si>
  <si>
    <t>Substitute Source</t>
  </si>
  <si>
    <r>
      <t>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to 100-year AR6 CO2e</t>
    </r>
  </si>
  <si>
    <r>
      <t>CH</t>
    </r>
    <r>
      <rPr>
        <vertAlign val="subscript"/>
        <sz val="14"/>
        <color theme="1"/>
        <rFont val="Calibri"/>
        <family val="2"/>
        <scheme val="minor"/>
      </rPr>
      <t>4</t>
    </r>
    <r>
      <rPr>
        <sz val="14"/>
        <color theme="1"/>
        <rFont val="Calibri"/>
        <family val="2"/>
        <scheme val="minor"/>
      </rPr>
      <t xml:space="preserve"> to 100-year AR6 CO2e</t>
    </r>
  </si>
  <si>
    <r>
      <t>N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O to 100-year AR6 CO2e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</si>
</sst>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vertAlign val="subscript"/>
      <sz val="14"/>
      <color theme="0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/>
      <top style="thin">
        <color theme="4" tint="0.59996337778862885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91454817346722"/>
      </left>
      <right/>
      <top/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/>
      <top style="thin">
        <color theme="4" tint="0.399914548173467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/>
    <xf numFmtId="43" fontId="2" fillId="0" borderId="0" xfId="0" applyNumberFormat="1" applyFont="1"/>
    <xf numFmtId="0" fontId="4" fillId="0" borderId="0" xfId="0" applyFont="1" applyFill="1"/>
    <xf numFmtId="0" fontId="5" fillId="0" borderId="2" xfId="0" applyFont="1" applyFill="1" applyBorder="1"/>
    <xf numFmtId="0" fontId="4" fillId="0" borderId="2" xfId="0" applyFont="1" applyFill="1" applyBorder="1"/>
    <xf numFmtId="0" fontId="4" fillId="0" borderId="1" xfId="0" applyFont="1" applyFill="1" applyBorder="1"/>
    <xf numFmtId="0" fontId="5" fillId="0" borderId="4" xfId="0" applyFont="1" applyFill="1" applyBorder="1"/>
    <xf numFmtId="0" fontId="5" fillId="0" borderId="3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4" fillId="0" borderId="8" xfId="0" applyFont="1" applyFill="1" applyBorder="1"/>
    <xf numFmtId="164" fontId="4" fillId="0" borderId="5" xfId="1" applyNumberFormat="1" applyFont="1" applyFill="1" applyBorder="1"/>
    <xf numFmtId="164" fontId="4" fillId="0" borderId="9" xfId="1" applyNumberFormat="1" applyFont="1" applyFill="1" applyBorder="1"/>
    <xf numFmtId="0" fontId="4" fillId="0" borderId="5" xfId="0" applyFont="1" applyFill="1" applyBorder="1"/>
    <xf numFmtId="0" fontId="4" fillId="0" borderId="10" xfId="0" applyFont="1" applyFill="1" applyBorder="1"/>
    <xf numFmtId="0" fontId="4" fillId="0" borderId="13" xfId="0" applyFont="1" applyFill="1" applyBorder="1"/>
    <xf numFmtId="164" fontId="4" fillId="0" borderId="13" xfId="0" applyNumberFormat="1" applyFont="1" applyFill="1" applyBorder="1"/>
    <xf numFmtId="164" fontId="4" fillId="0" borderId="13" xfId="1" applyNumberFormat="1" applyFont="1" applyFill="1" applyBorder="1"/>
    <xf numFmtId="164" fontId="4" fillId="0" borderId="11" xfId="1" applyNumberFormat="1" applyFont="1" applyFill="1" applyBorder="1"/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/>
    <xf numFmtId="0" fontId="2" fillId="0" borderId="14" xfId="0" applyFont="1" applyBorder="1"/>
    <xf numFmtId="0" fontId="2" fillId="0" borderId="19" xfId="0" applyFont="1" applyBorder="1"/>
    <xf numFmtId="165" fontId="2" fillId="0" borderId="14" xfId="0" applyNumberFormat="1" applyFont="1" applyBorder="1"/>
    <xf numFmtId="165" fontId="2" fillId="0" borderId="19" xfId="0" applyNumberFormat="1" applyFont="1" applyBorder="1"/>
    <xf numFmtId="0" fontId="2" fillId="0" borderId="20" xfId="0" applyFont="1" applyBorder="1"/>
    <xf numFmtId="0" fontId="2" fillId="0" borderId="21" xfId="0" applyFont="1" applyBorder="1"/>
    <xf numFmtId="2" fontId="2" fillId="0" borderId="21" xfId="0" applyNumberFormat="1" applyFont="1" applyBorder="1"/>
    <xf numFmtId="2" fontId="2" fillId="0" borderId="22" xfId="0" applyNumberFormat="1" applyFont="1" applyBorder="1"/>
    <xf numFmtId="0" fontId="2" fillId="0" borderId="14" xfId="0" applyFont="1" applyBorder="1" applyAlignment="1">
      <alignment wrapText="1"/>
    </xf>
    <xf numFmtId="1" fontId="2" fillId="0" borderId="14" xfId="0" applyNumberFormat="1" applyFont="1" applyBorder="1"/>
    <xf numFmtId="166" fontId="2" fillId="0" borderId="14" xfId="0" applyNumberFormat="1" applyFont="1" applyBorder="1"/>
    <xf numFmtId="0" fontId="2" fillId="0" borderId="22" xfId="0" applyFont="1" applyBorder="1"/>
    <xf numFmtId="0" fontId="3" fillId="2" borderId="24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3" fillId="2" borderId="26" xfId="0" applyFont="1" applyFill="1" applyBorder="1" applyAlignment="1">
      <alignment wrapText="1"/>
    </xf>
    <xf numFmtId="0" fontId="2" fillId="3" borderId="27" xfId="0" applyFont="1" applyFill="1" applyBorder="1"/>
    <xf numFmtId="0" fontId="2" fillId="3" borderId="23" xfId="0" applyFont="1" applyFill="1" applyBorder="1"/>
    <xf numFmtId="164" fontId="2" fillId="3" borderId="23" xfId="1" applyNumberFormat="1" applyFont="1" applyFill="1" applyBorder="1"/>
    <xf numFmtId="164" fontId="2" fillId="3" borderId="28" xfId="1" applyNumberFormat="1" applyFont="1" applyFill="1" applyBorder="1"/>
    <xf numFmtId="0" fontId="2" fillId="0" borderId="27" xfId="0" applyFont="1" applyBorder="1"/>
    <xf numFmtId="0" fontId="2" fillId="0" borderId="23" xfId="0" applyFont="1" applyBorder="1"/>
    <xf numFmtId="164" fontId="2" fillId="0" borderId="23" xfId="1" applyNumberFormat="1" applyFont="1" applyBorder="1"/>
    <xf numFmtId="164" fontId="2" fillId="0" borderId="28" xfId="1" applyNumberFormat="1" applyFont="1" applyBorder="1"/>
    <xf numFmtId="0" fontId="2" fillId="3" borderId="29" xfId="0" applyFont="1" applyFill="1" applyBorder="1"/>
    <xf numFmtId="0" fontId="2" fillId="3" borderId="30" xfId="0" applyFont="1" applyFill="1" applyBorder="1"/>
    <xf numFmtId="164" fontId="2" fillId="3" borderId="30" xfId="1" applyNumberFormat="1" applyFont="1" applyFill="1" applyBorder="1"/>
    <xf numFmtId="164" fontId="2" fillId="3" borderId="31" xfId="1" applyNumberFormat="1" applyFont="1" applyFill="1" applyBorder="1"/>
  </cellXfs>
  <cellStyles count="2">
    <cellStyle name="Comma" xfId="1" builtinId="3"/>
    <cellStyle name="Normal" xfId="0" builtinId="0"/>
  </cellStyles>
  <dxfs count="9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4" tint="0.39991454817346722"/>
        </left>
        <right style="thin">
          <color theme="4" tint="0.39991454817346722"/>
        </right>
        <top/>
        <bottom/>
        <vertical style="thin">
          <color theme="4" tint="0.39991454817346722"/>
        </vertical>
        <horizontal style="thin">
          <color theme="4" tint="0.39991454817346722"/>
        </horizontal>
      </border>
    </dxf>
    <dxf>
      <border diagonalUp="0" diagonalDown="0">
        <left style="thin">
          <color theme="4" tint="0.39991454817346722"/>
        </left>
        <right/>
        <top style="thin">
          <color theme="4" tint="0.39991454817346722"/>
        </top>
        <bottom style="thin">
          <color theme="4" tint="0.39991454817346722"/>
        </bottom>
        <vertical style="thin">
          <color theme="4" tint="0.39991454817346722"/>
        </vertical>
        <horizontal style="thin">
          <color theme="4" tint="0.39991454817346722"/>
        </horizontal>
      </border>
    </dxf>
    <dxf>
      <border diagonalUp="0" diagonalDown="0">
        <left style="thin">
          <color theme="4" tint="0.39991454817346722"/>
        </left>
        <right style="thin">
          <color theme="4" tint="0.39991454817346722"/>
        </right>
        <top style="thin">
          <color theme="4" tint="0.39991454817346722"/>
        </top>
        <bottom style="thin">
          <color theme="4" tint="0.39991454817346722"/>
        </bottom>
        <vertical style="thin">
          <color theme="4" tint="0.39991454817346722"/>
        </vertical>
        <horizontal style="thin">
          <color theme="4" tint="0.39991454817346722"/>
        </horizontal>
      </border>
    </dxf>
    <dxf>
      <border diagonalUp="0" diagonalDown="0">
        <left style="thin">
          <color theme="4" tint="0.39991454817346722"/>
        </left>
        <right style="thin">
          <color theme="4" tint="0.39991454817346722"/>
        </right>
        <top style="thin">
          <color theme="4" tint="0.39991454817346722"/>
        </top>
        <bottom style="thin">
          <color theme="4" tint="0.39991454817346722"/>
        </bottom>
        <vertical style="thin">
          <color theme="4" tint="0.39991454817346722"/>
        </vertical>
        <horizontal style="thin">
          <color theme="4" tint="0.39991454817346722"/>
        </horizontal>
      </border>
    </dxf>
    <dxf>
      <border diagonalUp="0" diagonalDown="0">
        <left style="thin">
          <color theme="4" tint="0.39991454817346722"/>
        </left>
        <right style="thin">
          <color theme="4" tint="0.39991454817346722"/>
        </right>
        <top style="thin">
          <color theme="4" tint="0.39991454817346722"/>
        </top>
        <bottom style="thin">
          <color theme="4" tint="0.39991454817346722"/>
        </bottom>
        <vertical style="thin">
          <color theme="4" tint="0.39991454817346722"/>
        </vertical>
        <horizontal style="thin">
          <color theme="4" tint="0.39991454817346722"/>
        </horizontal>
      </border>
    </dxf>
    <dxf>
      <border diagonalUp="0" diagonalDown="0">
        <left/>
        <right style="thin">
          <color theme="4" tint="0.39991454817346722"/>
        </right>
        <top style="thin">
          <color theme="4" tint="0.39991454817346722"/>
        </top>
        <bottom style="thin">
          <color theme="4" tint="0.39991454817346722"/>
        </bottom>
        <vertical style="thin">
          <color theme="4" tint="0.39991454817346722"/>
        </vertical>
        <horizontal style="thin">
          <color theme="4" tint="0.39991454817346722"/>
        </horizontal>
      </border>
    </dxf>
    <dxf>
      <border>
        <top style="thin">
          <color theme="4" tint="0.39991454817346722"/>
        </top>
      </border>
    </dxf>
    <dxf>
      <border>
        <bottom style="thin">
          <color theme="4" tint="0.39991454817346722"/>
        </bottom>
      </border>
    </dxf>
    <dxf>
      <border diagonalUp="0" diagonalDown="0">
        <left style="thin">
          <color theme="4" tint="0.39991454817346722"/>
        </left>
        <right style="thin">
          <color theme="4" tint="0.39991454817346722"/>
        </right>
        <top style="thin">
          <color theme="4" tint="0.39991454817346722"/>
        </top>
        <bottom style="thin">
          <color theme="4" tint="0.39991454817346722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/>
        <bottom/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/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border>
        <top style="thin">
          <color theme="4" tint="0.59996337778862885"/>
        </top>
      </border>
    </dxf>
    <dxf>
      <border>
        <bottom style="thin">
          <color theme="4" tint="0.59996337778862885"/>
        </bottom>
      </border>
    </dxf>
    <dxf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/>
        <bottom/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/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/>
        <bottom/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/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4" tint="0.59996337778862885"/>
        </left>
        <right style="thin">
          <color theme="4" tint="0.59996337778862885"/>
        </right>
        <top/>
        <bottom/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/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border>
        <top style="thin">
          <color theme="4" tint="0.59996337778862885"/>
        </top>
      </border>
    </dxf>
    <dxf>
      <border>
        <bottom style="thin">
          <color theme="4" tint="0.59996337778862885"/>
        </bottom>
      </border>
    </dxf>
    <dxf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theme="4" tint="0.79998168889431442"/>
        </left>
        <right style="thin">
          <color theme="4" tint="0.79998168889431442"/>
        </right>
        <top/>
        <bottom/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top style="thin">
          <color theme="4" tint="0.79998168889431442"/>
        </top>
      </border>
    </dxf>
    <dxf>
      <border>
        <bottom style="thin">
          <color theme="4" tint="0.79998168889431442"/>
        </bottom>
      </border>
    </dxf>
    <dxf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2065187536243"/>
        </top>
      </border>
    </dxf>
    <dxf>
      <border>
        <bottom style="thin">
          <color theme="4" tint="0.79992065187536243"/>
        </bottom>
      </border>
    </dxf>
    <dxf>
      <border diagonalUp="0" diagonalDown="0">
        <left style="thin">
          <color theme="4" tint="0.79992065187536243"/>
        </left>
        <right style="thin">
          <color theme="4" tint="0.79992065187536243"/>
        </right>
        <top style="thin">
          <color theme="4" tint="0.79992065187536243"/>
        </top>
        <bottom style="thin">
          <color theme="4" tint="0.79992065187536243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thin">
          <color theme="4" tint="0.39994506668294322"/>
        </top>
      </border>
    </dxf>
    <dxf>
      <border>
        <bottom style="thin">
          <color theme="4" tint="0.39994506668294322"/>
        </bottom>
      </border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thin">
          <color theme="4" tint="0.39994506668294322"/>
        </top>
      </border>
    </dxf>
    <dxf>
      <border>
        <bottom style="thin">
          <color theme="4" tint="0.39994506668294322"/>
        </bottom>
      </border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39C06D-3C94-491D-9716-FC9AAABD2DCD}" name="Table2" displayName="Table2" ref="A1:R7" totalsRowShown="0" headerRowDxfId="63" dataDxfId="98" headerRowBorderDxfId="83" tableBorderDxfId="84" totalsRowBorderDxfId="82" dataCellStyle="Comma">
  <autoFilter ref="A1:R7" xr:uid="{2C39C06D-3C94-491D-9716-FC9AAABD2DCD}"/>
  <tableColumns count="18">
    <tableColumn id="1" xr3:uid="{48C8D077-38E5-468C-A37E-55002B49CB1C}" name="Fuel" dataDxfId="81"/>
    <tableColumn id="2" xr3:uid="{039C57A9-C23B-4337-863B-F86327FB3665}" name="Production (bbls, mcf, short tons)" dataDxfId="80"/>
    <tableColumn id="17" xr3:uid="{EA79DF77-996D-4CAD-977E-3F1F2AB2B6A2}" name="CO2 Upstream (metric tons)" dataDxfId="79"/>
    <tableColumn id="16" xr3:uid="{D3E5C25F-CC73-47AA-8FB9-C056D7C59BE5}" name="CH4 Upstream (metric tons)" dataDxfId="78"/>
    <tableColumn id="15" xr3:uid="{092401B6-94C5-4FF4-A5F4-F6E714C75110}" name="N2O Upstream (metric tons)" dataDxfId="77"/>
    <tableColumn id="3" xr3:uid="{F858D9E7-DD2B-409C-BD7C-A523BA9E1B7A}" name="CO2 Midstream (metric tons)" dataDxfId="76" dataCellStyle="Comma"/>
    <tableColumn id="4" xr3:uid="{9217EA3C-2B9B-4777-8CB3-123ADF405905}" name="CH4 Midstream (metric tons)" dataDxfId="75" dataCellStyle="Comma"/>
    <tableColumn id="5" xr3:uid="{D3F66B41-37A6-4498-8541-3B12ABF440E7}" name="N2O Midstream (metric tons)" dataDxfId="74" dataCellStyle="Comma"/>
    <tableColumn id="6" xr3:uid="{852432D7-0BC0-4320-BB98-B448FF2C194F}" name="CO2 Downstream (metric tons)" dataDxfId="73" dataCellStyle="Comma"/>
    <tableColumn id="7" xr3:uid="{7206DFB2-1542-4617-AE44-5C6B864C9511}" name="CH4 Downstream (metric tons)" dataDxfId="72" dataCellStyle="Comma"/>
    <tableColumn id="8" xr3:uid="{CA31009B-8350-4D67-8208-261503355F0D}" name="N2O Downstream (metric tons)" dataDxfId="71" dataCellStyle="Comma"/>
    <tableColumn id="9" xr3:uid="{1EFCE0A4-1584-4344-BA4E-91F427E8D861}" name="CO2 Total (metric tons)" dataDxfId="70" dataCellStyle="Comma">
      <calculatedColumnFormula>C2+F2+I2</calculatedColumnFormula>
    </tableColumn>
    <tableColumn id="10" xr3:uid="{5811DEA1-15E9-4071-B65C-AC0EA78CA5B7}" name="CH4 Total (metric tons)" dataDxfId="69" dataCellStyle="Comma">
      <calculatedColumnFormula>D2+G2+J2</calculatedColumnFormula>
    </tableColumn>
    <tableColumn id="11" xr3:uid="{384C297E-AC1A-433B-8D9A-16FCA119AC73}" name="N2O Total (metric tons)" dataDxfId="68" dataCellStyle="Comma">
      <calculatedColumnFormula>E2+H2+K2</calculatedColumnFormula>
    </tableColumn>
    <tableColumn id="18" xr3:uid="{0A26D2E7-DC3E-4CB2-844D-66455F45A462}" name="Upstream in CO2e (metric tons)" dataDxfId="67" dataCellStyle="Comma">
      <calculatedColumnFormula>C2+D2*'Conversion Factors'!B8+E2*'Conversion Factors'!B9</calculatedColumnFormula>
    </tableColumn>
    <tableColumn id="12" xr3:uid="{31A4275C-8351-4115-844D-2649A893FE9B}" name="Midstream in CO2e (metric tons)" dataDxfId="66" dataCellStyle="Comma"/>
    <tableColumn id="13" xr3:uid="{C2F0DF49-6FA9-4A60-8264-07E380532A27}" name="Downstream in CO2e (metric tons)" dataDxfId="65" dataCellStyle="Comma"/>
    <tableColumn id="14" xr3:uid="{6DED8634-24E0-43B0-AA4A-144343A559B1}" name="Total  in CO2e (metric tons)" dataDxfId="64" dataCellStyle="Comma">
      <calculatedColumnFormula>O2+P2+Q2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45EFC6-8E29-4804-8500-C25B862DCD6E}" name="Table3" displayName="Table3" ref="A1:E4" totalsRowShown="0" headerRowDxfId="0" headerRowBorderDxfId="7" tableBorderDxfId="8" totalsRowBorderDxfId="6">
  <autoFilter ref="A1:E4" xr:uid="{F745EFC6-8E29-4804-8500-C25B862DCD6E}"/>
  <tableColumns count="5">
    <tableColumn id="1" xr3:uid="{29751FA6-1655-4CC1-B58D-CAA38411B233}" name="Substitute Source" dataDxfId="5"/>
    <tableColumn id="2" xr3:uid="{66185A2E-0EF5-4085-8892-B59195358883}" name="Oil Production Substitutes (percent)" dataDxfId="4"/>
    <tableColumn id="3" xr3:uid="{B65240FB-B41A-4918-B849-2D3E12BDB304}" name="Natural Gas Production Substitutes (percent)" dataDxfId="3"/>
    <tableColumn id="4" xr3:uid="{9ABEAFC3-9186-4B4A-BC2F-B547B9E7402E}" name="Oil Production Substitutes (bbls, mcf, short tons)" dataDxfId="2"/>
    <tableColumn id="5" xr3:uid="{C2451919-6BC9-4E58-B0F6-294ACC07DB79}" name="Natural Gas Substitutes (bbls, mcf, short tons)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3E7313-7FE1-4786-B247-873F3F032963}" name="Table6" displayName="Table6" ref="A1:G4" totalsRowShown="0" headerRowDxfId="9" dataDxfId="97" headerRowBorderDxfId="18" tableBorderDxfId="19" totalsRowBorderDxfId="17">
  <autoFilter ref="A1:G4" xr:uid="{323E7313-7FE1-4786-B247-873F3F032963}"/>
  <tableColumns count="7">
    <tableColumn id="1" xr3:uid="{48CF9D8A-D5BF-4510-8A72-38DD7A2CE36A}" name="Fuel" dataDxfId="16"/>
    <tableColumn id="2" xr3:uid="{28FDA4D4-8C0D-4979-A8F9-211C53FEDCD0}" name="CO2 (millions of metric tons)" dataDxfId="15"/>
    <tableColumn id="3" xr3:uid="{6C0B1971-5296-4E24-A5EC-81407188E62E}" name="CH4 (millions of metric tons)" dataDxfId="14"/>
    <tableColumn id="4" xr3:uid="{086D6715-B049-4685-8BFE-691C07E9A6D1}" name="N2O (millions of metric tons)" dataDxfId="13"/>
    <tableColumn id="5" xr3:uid="{15BD3539-AAA7-4593-AB65-28A654E31DBB}" name="Not Combusted (Percent)" dataDxfId="12"/>
    <tableColumn id="6" xr3:uid="{A9B547AC-350A-472A-9A9A-DD85CE11DE7B}" name="Production Gain (Ratio)" dataDxfId="11"/>
    <tableColumn id="7" xr3:uid="{CBDE429A-9380-4EF9-B343-ACD041AAD2E8}" name="National Production (thousands of bbls, millions of cubic ft, thousands of short tons)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FE8426-0A99-44C4-8F87-9B6F6D5BAA41}" name="Table7" displayName="Table7" ref="A1:E15" totalsRowShown="0" headerRowDxfId="40" dataDxfId="96" headerRowBorderDxfId="47" tableBorderDxfId="48" totalsRowBorderDxfId="46">
  <autoFilter ref="A1:E15" xr:uid="{7BFE8426-0A99-44C4-8F87-9B6F6D5BAA41}"/>
  <tableColumns count="5">
    <tableColumn id="1" xr3:uid="{03EE6ACD-F6FA-4417-A2E7-F45FA735FD0D}" name="Oil Products" dataDxfId="45"/>
    <tableColumn id="2" xr3:uid="{F402F736-7BC6-48EE-B42D-521E0C6A6AA1}" name="Production (thousands of bbls/day)" dataDxfId="44"/>
    <tableColumn id="3" xr3:uid="{FDB42F89-E1E4-4C99-93F9-62CAE3336FEC}" name="CO2 (kg/gal)" dataDxfId="43"/>
    <tableColumn id="4" xr3:uid="{B98C584A-47F1-4CC0-8C42-1537EE431490}" name="CH4 (kg/gal)" dataDxfId="42"/>
    <tableColumn id="5" xr3:uid="{6502D4E9-399A-46C6-9CFE-1CB880DDDBF4}" name="N2O (kg/gal)" dataDxfId="4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A83FC81-D232-4638-8E3B-30EFB3E729B6}" name="Table8" displayName="Table8" ref="A17:E18" totalsRowShown="0" headerRowDxfId="34" dataDxfId="95" headerRowBorderDxfId="61" tableBorderDxfId="62" totalsRowBorderDxfId="60">
  <autoFilter ref="A17:E18" xr:uid="{FA83FC81-D232-4638-8E3B-30EFB3E729B6}"/>
  <tableColumns count="5">
    <tableColumn id="1" xr3:uid="{6EBB5716-2BA3-4995-BAF6-08D8E69BAA68}" name="Natural Gas Product" dataDxfId="39"/>
    <tableColumn id="2" xr3:uid="{7B77212D-E92B-4642-B456-ABF0BE32C3AD}" name="Production (thousands of cubic ft)" dataDxfId="38"/>
    <tableColumn id="3" xr3:uid="{8A814300-A8F8-49BF-B267-654C3FBE42AC}" name="CO2 (kg/thousands of cubic ft)" dataDxfId="37"/>
    <tableColumn id="4" xr3:uid="{B4BC9AFA-2639-490A-825B-2AD381638530}" name="CH4 (kg/thousands of cubic ft)" dataDxfId="36"/>
    <tableColumn id="5" xr3:uid="{04997860-B8DD-4354-A66A-A9CB8422160C}" name="N2O (kg/thousands of cubic ft)" dataDxfId="3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F922546-97A4-4F9E-A93E-F17A6DF3931F}" name="Table9" displayName="Table9" ref="A20:E25" totalsRowShown="0" headerRowDxfId="56" dataDxfId="94" headerRowBorderDxfId="58" tableBorderDxfId="59" totalsRowBorderDxfId="57">
  <autoFilter ref="A20:E25" xr:uid="{7F922546-97A4-4F9E-A93E-F17A6DF3931F}"/>
  <tableColumns count="5">
    <tableColumn id="1" xr3:uid="{93133E16-90F8-4A59-ACF3-4D9FADB6412C}" name="Coal Products" dataDxfId="33"/>
    <tableColumn id="2" xr3:uid="{E07473F8-98FB-489B-8262-1EFEA9570EA2}" name="Production (thousands of short tons)" dataDxfId="32"/>
    <tableColumn id="3" xr3:uid="{AE884A2C-6E75-4C75-9537-B169CF683CCA}" name="CO2 (kg/short ton)" dataDxfId="31"/>
    <tableColumn id="4" xr3:uid="{737CA25B-0E53-4E81-88F8-7BCF8AF09E27}" name="CH4 (kg/short ton)" dataDxfId="30"/>
    <tableColumn id="5" xr3:uid="{C3BBA033-D757-491A-8CF1-562C1D74324C}" name="N2O (kg/short ton)" dataDxfId="2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C2CAF1A-CA47-4AE2-946F-BE2DC7ACB6C6}" name="Table10" displayName="Table10" ref="A1:D5" totalsRowShown="0" headerRowDxfId="24" dataDxfId="93" headerRowBorderDxfId="54" tableBorderDxfId="55" totalsRowBorderDxfId="53">
  <autoFilter ref="A1:D5" xr:uid="{EC2CAF1A-CA47-4AE2-946F-BE2DC7ACB6C6}"/>
  <tableColumns count="4">
    <tableColumn id="1" xr3:uid="{72B0EE1A-89CE-4148-BAE7-9DDADA241E39}" name="Multitype Fuel" dataDxfId="28"/>
    <tableColumn id="2" xr3:uid="{949FA038-9184-4DE4-8ABB-79B875B2EFC0}" name="CO2 (kg/gal)" dataDxfId="27"/>
    <tableColumn id="3" xr3:uid="{5CDAE3BE-588C-4360-A987-E06FE90ECC4C}" name="CH4 (kg/gal)" dataDxfId="26"/>
    <tableColumn id="4" xr3:uid="{15CCC98A-17B2-4A18-B19D-EC87A2A1B00A}" name="N2O (kg/gal)" dataDxfId="2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15731A-56B2-4C69-82F6-6E93AF8078FA}" name="Table11" displayName="Table11" ref="A7:D10" totalsRowShown="0" headerRowDxfId="49" dataDxfId="92" headerRowBorderDxfId="51" tableBorderDxfId="52" totalsRowBorderDxfId="50">
  <autoFilter ref="A7:D10" xr:uid="{2915731A-56B2-4C69-82F6-6E93AF8078FA}"/>
  <tableColumns count="4">
    <tableColumn id="1" xr3:uid="{1DDD6045-FAF9-4289-BAD6-8A7D12CBF02F}" name="Multitype Fuel" dataDxfId="23"/>
    <tableColumn id="2" xr3:uid="{E0439BEB-6DF1-4040-98B1-2EBA1412AECE}" name="CO2 (kg/gal)" dataDxfId="22"/>
    <tableColumn id="3" xr3:uid="{601CEE22-CBB9-4692-83E1-9DF97D4ECF6D}" name="CH4 (kg/gal)" dataDxfId="21"/>
    <tableColumn id="4" xr3:uid="{20DC18B0-7A02-4D39-9CFE-B24E7BC32B50}" name="N2O (kg/gal)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6817AA-BA6C-4E0C-B64B-19A191740DB1}" name="Table4" displayName="Table4" ref="A1:B9" totalsRowShown="0" headerRowDxfId="85" dataDxfId="91" headerRowBorderDxfId="89" tableBorderDxfId="90" totalsRowBorderDxfId="88">
  <autoFilter ref="A1:B9" xr:uid="{EF6817AA-BA6C-4E0C-B64B-19A191740DB1}"/>
  <tableColumns count="2">
    <tableColumn id="1" xr3:uid="{8D8C0C6A-D759-48C1-8982-70A2E3CD1CD2}" name="Conversion" dataDxfId="87"/>
    <tableColumn id="2" xr3:uid="{B2177418-792B-427E-AE62-0BBF8F7709C2}" name="Value" dataDxfId="8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5168-42F9-4018-80E3-105536C8E74C}">
  <dimension ref="A1:R7"/>
  <sheetViews>
    <sheetView zoomScale="76" zoomScaleNormal="65" workbookViewId="0">
      <selection activeCell="K9" sqref="K9"/>
    </sheetView>
  </sheetViews>
  <sheetFormatPr defaultColWidth="8.68359375" defaultRowHeight="18.3" x14ac:dyDescent="0.7"/>
  <cols>
    <col min="1" max="1" width="20" style="7" customWidth="1"/>
    <col min="2" max="2" width="21.3671875" style="7" customWidth="1"/>
    <col min="3" max="3" width="19.05078125" style="7" bestFit="1" customWidth="1"/>
    <col min="4" max="4" width="18.9453125" style="7" bestFit="1" customWidth="1"/>
    <col min="5" max="5" width="19.41796875" style="7" bestFit="1" customWidth="1"/>
    <col min="6" max="6" width="20.20703125" style="7" bestFit="1" customWidth="1"/>
    <col min="7" max="7" width="20.15625" style="7" bestFit="1" customWidth="1"/>
    <col min="8" max="8" width="20.5234375" style="7" bestFit="1" customWidth="1"/>
    <col min="9" max="9" width="22.20703125" style="7" bestFit="1" customWidth="1"/>
    <col min="10" max="10" width="22.15625" style="7" bestFit="1" customWidth="1"/>
    <col min="11" max="11" width="22.578125" style="7" customWidth="1"/>
    <col min="12" max="12" width="17" style="7" bestFit="1" customWidth="1"/>
    <col min="13" max="13" width="17" style="7" customWidth="1"/>
    <col min="14" max="14" width="17" style="7" bestFit="1" customWidth="1"/>
    <col min="15" max="15" width="22.20703125" style="7" bestFit="1" customWidth="1"/>
    <col min="16" max="16" width="23.3671875" style="7" bestFit="1" customWidth="1"/>
    <col min="17" max="17" width="24.62890625" style="7" bestFit="1" customWidth="1"/>
    <col min="18" max="18" width="17.7890625" style="7" bestFit="1" customWidth="1"/>
    <col min="19" max="16384" width="8.68359375" style="7"/>
  </cols>
  <sheetData>
    <row r="1" spans="1:18" s="24" customFormat="1" ht="39" x14ac:dyDescent="0.7">
      <c r="A1" s="25" t="s">
        <v>30</v>
      </c>
      <c r="B1" s="26" t="s">
        <v>69</v>
      </c>
      <c r="C1" s="26" t="s">
        <v>74</v>
      </c>
      <c r="D1" s="26" t="s">
        <v>75</v>
      </c>
      <c r="E1" s="26" t="s">
        <v>76</v>
      </c>
      <c r="F1" s="26" t="s">
        <v>77</v>
      </c>
      <c r="G1" s="26" t="s">
        <v>78</v>
      </c>
      <c r="H1" s="26" t="s">
        <v>79</v>
      </c>
      <c r="I1" s="26" t="s">
        <v>80</v>
      </c>
      <c r="J1" s="26" t="s">
        <v>81</v>
      </c>
      <c r="K1" s="26" t="s">
        <v>82</v>
      </c>
      <c r="L1" s="26" t="s">
        <v>83</v>
      </c>
      <c r="M1" s="26" t="s">
        <v>84</v>
      </c>
      <c r="N1" s="26" t="s">
        <v>85</v>
      </c>
      <c r="O1" s="26" t="s">
        <v>70</v>
      </c>
      <c r="P1" s="26" t="s">
        <v>71</v>
      </c>
      <c r="Q1" s="26" t="s">
        <v>72</v>
      </c>
      <c r="R1" s="27" t="s">
        <v>73</v>
      </c>
    </row>
    <row r="2" spans="1:18" x14ac:dyDescent="0.7">
      <c r="A2" s="28" t="s">
        <v>32</v>
      </c>
      <c r="B2" s="29">
        <v>100000000</v>
      </c>
      <c r="C2" s="29"/>
      <c r="D2" s="29"/>
      <c r="E2" s="29"/>
      <c r="F2" s="29">
        <f>'Industry Data'!B2*1000000*(Overview!$B$2/('Industry Data'!$G$2*1000))</f>
        <v>59595.082427074776</v>
      </c>
      <c r="G2" s="29">
        <f>'Industry Data'!C2*1000000*(Overview!$B$2/('Industry Data'!$G$2*1000))</f>
        <v>537.0072163877644</v>
      </c>
      <c r="H2" s="29">
        <f>'Industry Data'!D2*1000000*(Overview!$B$2/('Industry Data'!$G$2*1000))</f>
        <v>0.59070793802654087</v>
      </c>
      <c r="I2" s="29">
        <f>((1+'Industry Data'!F2)*Overview!B$2*'Conversion Factors'!B6*(1-'Industry Data'!E$2)*'Downstream EFs'!C15)/1000</f>
        <v>32209394.107000049</v>
      </c>
      <c r="J2" s="29">
        <f>((1+'Industry Data'!F2)*Overview!B$2*'Conversion Factors'!B6*(1-'Industry Data'!E$2)*'Downstream EFs'!D15)/1000</f>
        <v>1368.8151212528248</v>
      </c>
      <c r="K2" s="29">
        <f>((1+'Industry Data'!F2)*Overview!B$2*'Conversion Factors'!B6*(1-'Industry Data'!E$2)*'Downstream EFs'!E15)/1000</f>
        <v>278.15893696958165</v>
      </c>
      <c r="L2" s="29">
        <f>C2+F2+I2</f>
        <v>32268989.189427122</v>
      </c>
      <c r="M2" s="29">
        <f>D2+G2+J2</f>
        <v>1905.8223376405892</v>
      </c>
      <c r="N2" s="29">
        <f>E2+H2+K2</f>
        <v>278.74964490760817</v>
      </c>
      <c r="O2" s="29">
        <f>C2+D2*'Conversion Factors'!B8+E2*'Conversion Factors'!B9</f>
        <v>0</v>
      </c>
      <c r="P2" s="29">
        <f>F2+G2*'Conversion Factors'!B8+H2*'Conversion Factors'!B9</f>
        <v>75866.562185788949</v>
      </c>
      <c r="Q2" s="29">
        <f>I2+J2*'Conversion Factors'!B8+K2*'Conversion Factors'!B9</f>
        <v>32326395.95043033</v>
      </c>
      <c r="R2" s="30">
        <f>O2+P2+Q2</f>
        <v>32402262.51261612</v>
      </c>
    </row>
    <row r="3" spans="1:18" x14ac:dyDescent="0.7">
      <c r="A3" s="28" t="s">
        <v>33</v>
      </c>
      <c r="B3" s="29">
        <v>100000000</v>
      </c>
      <c r="C3" s="29"/>
      <c r="D3" s="29"/>
      <c r="E3" s="29"/>
      <c r="F3" s="29">
        <f>'Industry Data'!B3*1000000*(Overview!$B$3/('Industry Data'!$G$3*1000))</f>
        <v>83550.962312024247</v>
      </c>
      <c r="G3" s="29">
        <f>'Industry Data'!C3*1000000*(Overview!$B$3/('Industry Data'!$G$3*1000))</f>
        <v>8193.5763351692549</v>
      </c>
      <c r="H3" s="29">
        <f>'Industry Data'!D3*1000000*(Overview!$B$3/('Industry Data'!$G$3*1000))</f>
        <v>5.5077665697134723E-2</v>
      </c>
      <c r="I3" s="29">
        <f>(B3)*(1-'Industry Data'!E3)*'Downstream EFs'!C18/1000</f>
        <v>5258904</v>
      </c>
      <c r="J3" s="29">
        <f>(B3)*(1-'Industry Data'!E3)*'Downstream EFs'!D18/1000</f>
        <v>99.498000000000019</v>
      </c>
      <c r="K3" s="29">
        <f>(B3)*(1-'Industry Data'!E3)*'Downstream EFs'!E18/1000</f>
        <v>9.66</v>
      </c>
      <c r="L3" s="29">
        <f t="shared" ref="L3:N7" si="0">C3+F3+I3</f>
        <v>5342454.9623120241</v>
      </c>
      <c r="M3" s="29">
        <f t="shared" si="0"/>
        <v>8293.0743351692545</v>
      </c>
      <c r="N3" s="29">
        <f t="shared" si="0"/>
        <v>9.7150776656971356</v>
      </c>
      <c r="O3" s="29">
        <f>C3+D3*'Conversion Factors'!B9+E3*'Conversion Factors'!B10</f>
        <v>0</v>
      </c>
      <c r="P3" s="29">
        <f>F3+G3*'Conversion Factors'!B8+H3*'Conversion Factors'!B9</f>
        <v>329373.28856983723</v>
      </c>
      <c r="Q3" s="29">
        <f>I3+J3*'Conversion Factors'!B8+K3*'Conversion Factors'!B9</f>
        <v>5264526.12</v>
      </c>
      <c r="R3" s="30">
        <f t="shared" ref="R3:R7" si="1">O3+P3+Q3</f>
        <v>5593899.408569837</v>
      </c>
    </row>
    <row r="4" spans="1:18" x14ac:dyDescent="0.7">
      <c r="A4" s="28" t="s">
        <v>34</v>
      </c>
      <c r="B4" s="31" t="s">
        <v>37</v>
      </c>
      <c r="C4" s="29">
        <f t="shared" ref="C4:E4" si="2">SUM(C2:C3)</f>
        <v>0</v>
      </c>
      <c r="D4" s="29">
        <f t="shared" si="2"/>
        <v>0</v>
      </c>
      <c r="E4" s="29">
        <f t="shared" si="2"/>
        <v>0</v>
      </c>
      <c r="F4" s="29">
        <f>SUM(F2:F3)</f>
        <v>143146.04473909902</v>
      </c>
      <c r="G4" s="29">
        <f t="shared" ref="G4:Q4" si="3">SUM(G2:G3)</f>
        <v>8730.5835515570197</v>
      </c>
      <c r="H4" s="29">
        <f t="shared" si="3"/>
        <v>0.64578560372367555</v>
      </c>
      <c r="I4" s="29">
        <f t="shared" si="3"/>
        <v>37468298.107000053</v>
      </c>
      <c r="J4" s="29">
        <f t="shared" si="3"/>
        <v>1468.3131212528249</v>
      </c>
      <c r="K4" s="29">
        <f t="shared" si="3"/>
        <v>287.81893696958167</v>
      </c>
      <c r="L4" s="29">
        <f t="shared" si="0"/>
        <v>37611444.15173915</v>
      </c>
      <c r="M4" s="29">
        <f t="shared" si="0"/>
        <v>10198.896672809844</v>
      </c>
      <c r="N4" s="29">
        <f t="shared" si="0"/>
        <v>288.46472257330532</v>
      </c>
      <c r="O4" s="29">
        <f>C4+D4*'Conversion Factors'!B10+E4*'Conversion Factors'!B11</f>
        <v>0</v>
      </c>
      <c r="P4" s="29">
        <f t="shared" si="3"/>
        <v>405239.85075562616</v>
      </c>
      <c r="Q4" s="29">
        <f t="shared" si="3"/>
        <v>37590922.070430331</v>
      </c>
      <c r="R4" s="30">
        <f t="shared" si="1"/>
        <v>37996161.921185955</v>
      </c>
    </row>
    <row r="5" spans="1:18" x14ac:dyDescent="0.7">
      <c r="A5" s="28" t="s">
        <v>31</v>
      </c>
      <c r="B5" s="31" t="s">
        <v>37</v>
      </c>
      <c r="C5" s="31"/>
      <c r="D5" s="31"/>
      <c r="E5" s="31"/>
      <c r="F5" s="29">
        <f>'Industry Data'!B2*1000000*('Substitution Rates'!D2/('Industry Data'!$G$2*1000))+'Industry Data'!B3*1000000*('Substitution Rates'!D3/('Industry Data'!$G$3*1000))</f>
        <v>61030.006468395652</v>
      </c>
      <c r="G5" s="29">
        <f>'Industry Data'!C2*1000000*('Substitution Rates'!D2/('Industry Data'!$G$2*1000))+'Industry Data'!C3*1000000*('Substitution Rates'!D3/('Industry Data'!$G$3*1000))+'Industry Data'!C4*1000000*('Substitution Rates'!D4/('Industry Data'!G4*1000))</f>
        <v>1241.9438072675475</v>
      </c>
      <c r="H5" s="29">
        <f>'Industry Data'!D2*1000000*('Substitution Rates'!D2/('Industry Data'!$G$2*1000))+'Industry Data'!D3*1000000*('Substitution Rates'!D3/('Industry Data'!$G$3*1000))</f>
        <v>0.53932388451572422</v>
      </c>
      <c r="I5" s="29">
        <f>((1+'Industry Data'!F2)*'Substitution Rates'!D2*'Conversion Factors'!B6*(1-'Industry Data'!E$2)*'Downstream EFs'!C15)/1000+('Substitution Rates'!D3)*(1-'Industry Data'!E3)*'Downstream EFs'!C18/1000+(('Substitution Rates'!D4)*(1-'Industry Data'!E4)*'Downstream EFs'!C25)/1000</f>
        <v>29876601.155336872</v>
      </c>
      <c r="J5" s="29">
        <f>((1+'Industry Data'!F2)*'Substitution Rates'!D2*'Conversion Factors'!B6*(1-'Industry Data'!E$2)*'Downstream EFs'!D15)/1000+('Substitution Rates'!D3)*(1-'Industry Data'!E3)*'Downstream EFs'!D18/1000+(('Substitution Rates'!D4)*(1-'Industry Data'!E4)*'Downstream EFs'!D25)/1000</f>
        <v>1279.3542432313693</v>
      </c>
      <c r="K5" s="29">
        <f>((1+'Industry Data'!F2)*'Substitution Rates'!D2*'Conversion Factors'!B6*(1-'Industry Data'!E$2)*'Downstream EFs'!E15)/1000+('Substitution Rates'!D3)*(1-'Industry Data'!E3)*'Downstream EFs'!E18/1000+(('Substitution Rates'!D4)*(1-'Industry Data'!E4)*'Downstream EFs'!E25)/1000</f>
        <v>257.29475445048388</v>
      </c>
      <c r="L5" s="29">
        <f t="shared" si="0"/>
        <v>29937631.161805268</v>
      </c>
      <c r="M5" s="29">
        <f t="shared" si="0"/>
        <v>2521.2980504989168</v>
      </c>
      <c r="N5" s="29">
        <f t="shared" si="0"/>
        <v>257.83407833499962</v>
      </c>
      <c r="O5" s="29">
        <f>C5+D5*'Conversion Factors'!B11+E5*'Conversion Factors'!B12</f>
        <v>0</v>
      </c>
      <c r="P5" s="29">
        <f>F5+G5*'Conversion Factors'!B8+H5*'Conversion Factors'!B9</f>
        <v>98435.556106894874</v>
      </c>
      <c r="Q5" s="29">
        <f>I5+J5*'Conversion Factors'!B8+K5*'Conversion Factors'!B9</f>
        <v>29985223.250598792</v>
      </c>
      <c r="R5" s="30">
        <f t="shared" si="1"/>
        <v>30083658.806705687</v>
      </c>
    </row>
    <row r="6" spans="1:18" x14ac:dyDescent="0.7">
      <c r="A6" s="28" t="s">
        <v>35</v>
      </c>
      <c r="B6" s="31" t="s">
        <v>37</v>
      </c>
      <c r="C6" s="31"/>
      <c r="D6" s="31"/>
      <c r="E6" s="31"/>
      <c r="F6" s="29">
        <f>'Industry Data'!B2*1000000*('Substitution Rates'!E2/('Industry Data'!$G$2*1000))+'Industry Data'!B3*1000000*('Substitution Rates'!E3/('Industry Data'!$G$3*1000))</f>
        <v>51246.995629784273</v>
      </c>
      <c r="G6" s="29">
        <f>'Industry Data'!C2*1000000*('Substitution Rates'!E2/('Industry Data'!$G$2*1000))+'Industry Data'!C3*1000000*('Substitution Rates'!E3/('Industry Data'!$G$3*1000))+'Industry Data'!C4*1000000*('Substitution Rates'!E4/('Industry Data'!G4*1000))</f>
        <v>4974.928174535703</v>
      </c>
      <c r="H6" s="29">
        <f>'Industry Data'!D2*1000000*('Substitution Rates'!E2/('Industry Data'!$G$2*1000))+'Industry Data'!D3*1000000*('Substitution Rates'!E3/('Industry Data'!$G$3*1000))</f>
        <v>4.0169848882650828E-2</v>
      </c>
      <c r="I6" s="29">
        <f>((1+'Industry Data'!F2)*'Substitution Rates'!E2*'Conversion Factors'!B6*(1-'Industry Data'!E$2)*'Downstream EFs'!C15)/1000+('Substitution Rates'!E3)*(1-'Industry Data'!E3)*'Downstream EFs'!C18/1000+(('Substitution Rates'!E4)*(1-'Industry Data'!E4)*'Downstream EFs'!C25)/1000</f>
        <v>3604645.2270399057</v>
      </c>
      <c r="J6" s="29">
        <f>((1+'Industry Data'!F2)*'Substitution Rates'!E2*'Conversion Factors'!B6*(1-'Industry Data'!E$2)*'Downstream EFs'!D15)/1000+('Substitution Rates'!E3)*(1-'Industry Data'!E3)*'Downstream EFs'!D18/1000+(('Substitution Rates'!E4)*(1-'Industry Data'!E4)*'Downstream EFs'!D25)/1000</f>
        <v>81.754703914331799</v>
      </c>
      <c r="K6" s="29">
        <f>((1+'Industry Data'!F2)*'Substitution Rates'!E2*'Conversion Factors'!B6*(1-'Industry Data'!E$2)*'Downstream EFs'!E15)/1000+('Substitution Rates'!E3)*(1-'Industry Data'!E3)*'Downstream EFs'!E18/1000+(('Substitution Rates'!E4)*(1-'Industry Data'!E4)*'Downstream EFs'!E25)/1000</f>
        <v>9.9059116056393925</v>
      </c>
      <c r="L6" s="29">
        <f t="shared" si="0"/>
        <v>3655892.2226696899</v>
      </c>
      <c r="M6" s="29">
        <f t="shared" si="0"/>
        <v>5056.6828784500349</v>
      </c>
      <c r="N6" s="29">
        <f t="shared" si="0"/>
        <v>9.9460814545220426</v>
      </c>
      <c r="O6" s="29">
        <f>C6+D6*'Conversion Factors'!B12+E6*'Conversion Factors'!B13</f>
        <v>0</v>
      </c>
      <c r="P6" s="29">
        <f>F6+G6*'Conversion Factors'!B8+H6*'Conversion Factors'!B9</f>
        <v>200505.80723460033</v>
      </c>
      <c r="Q6" s="29">
        <f>I6+J6*'Conversion Factors'!B8+K6*'Conversion Factors'!B9</f>
        <v>3609802.1820256752</v>
      </c>
      <c r="R6" s="30">
        <f t="shared" si="1"/>
        <v>3810307.9892602754</v>
      </c>
    </row>
    <row r="7" spans="1:18" x14ac:dyDescent="0.7">
      <c r="A7" s="32" t="s">
        <v>36</v>
      </c>
      <c r="B7" s="33" t="s">
        <v>37</v>
      </c>
      <c r="C7" s="33"/>
      <c r="D7" s="33"/>
      <c r="E7" s="33"/>
      <c r="F7" s="34">
        <f>SUM(F5:F6)</f>
        <v>112277.00209817992</v>
      </c>
      <c r="G7" s="34">
        <f t="shared" ref="G7:Q7" si="4">SUM(G5:G6)</f>
        <v>6216.8719818032505</v>
      </c>
      <c r="H7" s="34">
        <f t="shared" si="4"/>
        <v>0.57949373339837507</v>
      </c>
      <c r="I7" s="34">
        <f t="shared" si="4"/>
        <v>33481246.382376779</v>
      </c>
      <c r="J7" s="34">
        <f t="shared" si="4"/>
        <v>1361.1089471457012</v>
      </c>
      <c r="K7" s="34">
        <f t="shared" si="4"/>
        <v>267.20066605612328</v>
      </c>
      <c r="L7" s="35">
        <f t="shared" si="0"/>
        <v>33593523.384474955</v>
      </c>
      <c r="M7" s="35">
        <f t="shared" si="0"/>
        <v>7577.9809289489513</v>
      </c>
      <c r="N7" s="35">
        <f t="shared" si="0"/>
        <v>267.78015978952163</v>
      </c>
      <c r="O7" s="35">
        <f>C7+D7*'Conversion Factors'!B13+E7*'Conversion Factors'!B14</f>
        <v>0</v>
      </c>
      <c r="P7" s="34">
        <f t="shared" si="4"/>
        <v>298941.36334149522</v>
      </c>
      <c r="Q7" s="34">
        <f t="shared" si="4"/>
        <v>33595025.432624467</v>
      </c>
      <c r="R7" s="36">
        <f t="shared" si="1"/>
        <v>33893966.795965962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98BC-7DFE-487D-9532-DE1D8E1DD299}">
  <dimension ref="A1:E14"/>
  <sheetViews>
    <sheetView workbookViewId="0">
      <selection activeCell="B12" sqref="B12"/>
    </sheetView>
  </sheetViews>
  <sheetFormatPr defaultColWidth="8.68359375" defaultRowHeight="18.3" x14ac:dyDescent="0.7"/>
  <cols>
    <col min="1" max="1" width="22.41796875" style="2" customWidth="1"/>
    <col min="2" max="2" width="24.5234375" style="2" customWidth="1"/>
    <col min="3" max="3" width="28.83984375" style="2" customWidth="1"/>
    <col min="4" max="4" width="30.83984375" style="2" customWidth="1"/>
    <col min="5" max="5" width="29.578125" style="2" customWidth="1"/>
    <col min="6" max="16384" width="8.68359375" style="2"/>
  </cols>
  <sheetData>
    <row r="1" spans="1:5" s="23" customFormat="1" ht="36.6" x14ac:dyDescent="0.7">
      <c r="A1" s="53" t="s">
        <v>86</v>
      </c>
      <c r="B1" s="54" t="s">
        <v>67</v>
      </c>
      <c r="C1" s="54" t="s">
        <v>68</v>
      </c>
      <c r="D1" s="54" t="s">
        <v>38</v>
      </c>
      <c r="E1" s="55" t="s">
        <v>39</v>
      </c>
    </row>
    <row r="2" spans="1:5" x14ac:dyDescent="0.7">
      <c r="A2" s="56" t="s">
        <v>0</v>
      </c>
      <c r="B2" s="57">
        <v>90.51</v>
      </c>
      <c r="C2" s="57">
        <v>6.51</v>
      </c>
      <c r="D2" s="58">
        <f>(Overview!B2*'Conversion Factors'!B2*(B2/100))/'Conversion Factors'!B2</f>
        <v>90510000</v>
      </c>
      <c r="E2" s="59">
        <f>(Overview!B3*'Conversion Factors'!B3*(C2/100))/'Conversion Factors'!B2</f>
        <v>1158331.0344827585</v>
      </c>
    </row>
    <row r="3" spans="1:5" x14ac:dyDescent="0.7">
      <c r="A3" s="60" t="s">
        <v>13</v>
      </c>
      <c r="B3" s="61">
        <v>1.51</v>
      </c>
      <c r="C3" s="61">
        <v>60.51</v>
      </c>
      <c r="D3" s="62">
        <f>(Overview!B2*'Conversion Factors'!B2*(B3/100))/'Conversion Factors'!B3</f>
        <v>8486434.1085271314</v>
      </c>
      <c r="E3" s="63">
        <f>(Overview!B3*'Conversion Factors'!B3*(C3/100))/'Conversion Factors'!B3</f>
        <v>60510000</v>
      </c>
    </row>
    <row r="4" spans="1:5" x14ac:dyDescent="0.7">
      <c r="A4" s="64" t="s">
        <v>14</v>
      </c>
      <c r="B4" s="65">
        <v>0.51</v>
      </c>
      <c r="C4" s="65">
        <v>0.51</v>
      </c>
      <c r="D4" s="66">
        <f>(Overview!B2*'Conversion Factors'!B2*(B4/100))/'Conversion Factors'!B4</f>
        <v>145092.46088193456</v>
      </c>
      <c r="E4" s="67">
        <f>(Overview!B3*'Conversion Factors'!B3*(C4/100))/'Conversion Factors'!B4</f>
        <v>25816.451660371808</v>
      </c>
    </row>
    <row r="8" spans="1:5" x14ac:dyDescent="0.7">
      <c r="A8" s="8"/>
    </row>
    <row r="9" spans="1:5" x14ac:dyDescent="0.7">
      <c r="A9" s="9"/>
      <c r="D9" s="5"/>
    </row>
    <row r="10" spans="1:5" x14ac:dyDescent="0.7">
      <c r="A10" s="9"/>
      <c r="D10" s="5"/>
    </row>
    <row r="11" spans="1:5" x14ac:dyDescent="0.7">
      <c r="A11" s="10"/>
      <c r="D11" s="5"/>
    </row>
    <row r="14" spans="1:5" x14ac:dyDescent="0.7">
      <c r="C14" s="6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D90D-BCF2-418E-A00C-9BC5B6D651E4}">
  <dimension ref="A1:H5"/>
  <sheetViews>
    <sheetView workbookViewId="0">
      <selection activeCell="C4" sqref="C4"/>
    </sheetView>
  </sheetViews>
  <sheetFormatPr defaultColWidth="8.68359375" defaultRowHeight="18.3" x14ac:dyDescent="0.7"/>
  <cols>
    <col min="1" max="1" width="16.3125" style="2" customWidth="1"/>
    <col min="2" max="2" width="18.20703125" style="2" customWidth="1"/>
    <col min="3" max="3" width="21.9453125" style="2" customWidth="1"/>
    <col min="4" max="4" width="20.3671875" style="2" customWidth="1"/>
    <col min="5" max="5" width="20.3125" style="2" customWidth="1"/>
    <col min="6" max="6" width="18.5234375" style="2" customWidth="1"/>
    <col min="7" max="7" width="28.7890625" style="2" customWidth="1"/>
    <col min="8" max="16384" width="8.68359375" style="2"/>
  </cols>
  <sheetData>
    <row r="1" spans="1:8" s="23" customFormat="1" ht="71.099999999999994" customHeight="1" x14ac:dyDescent="0.7">
      <c r="A1" s="37" t="s">
        <v>30</v>
      </c>
      <c r="B1" s="38" t="s">
        <v>63</v>
      </c>
      <c r="C1" s="38" t="s">
        <v>64</v>
      </c>
      <c r="D1" s="38" t="s">
        <v>65</v>
      </c>
      <c r="E1" s="38" t="s">
        <v>24</v>
      </c>
      <c r="F1" s="38" t="s">
        <v>46</v>
      </c>
      <c r="G1" s="39" t="s">
        <v>66</v>
      </c>
    </row>
    <row r="2" spans="1:8" x14ac:dyDescent="0.7">
      <c r="A2" s="40" t="s">
        <v>0</v>
      </c>
      <c r="B2" s="41">
        <v>4.2171000000000003</v>
      </c>
      <c r="C2" s="41">
        <v>3.7999999999999999E-2</v>
      </c>
      <c r="D2" s="41">
        <v>4.18E-5</v>
      </c>
      <c r="E2" s="41">
        <v>0.182</v>
      </c>
      <c r="F2" s="41">
        <v>6.3E-2</v>
      </c>
      <c r="G2" s="42">
        <v>7076255</v>
      </c>
    </row>
    <row r="3" spans="1:8" x14ac:dyDescent="0.7">
      <c r="A3" s="40" t="s">
        <v>13</v>
      </c>
      <c r="B3" s="41">
        <v>27.001999999999999</v>
      </c>
      <c r="C3" s="41">
        <v>2.6480000000000001</v>
      </c>
      <c r="D3" s="41">
        <v>1.7799999999999999E-5</v>
      </c>
      <c r="E3" s="41">
        <v>3.4000000000000002E-2</v>
      </c>
      <c r="F3" s="41"/>
      <c r="G3" s="42">
        <v>32318000</v>
      </c>
      <c r="H3" s="3"/>
    </row>
    <row r="4" spans="1:8" x14ac:dyDescent="0.7">
      <c r="A4" s="45" t="s">
        <v>14</v>
      </c>
      <c r="B4" s="46">
        <v>0</v>
      </c>
      <c r="C4" s="46">
        <v>0.214</v>
      </c>
      <c r="D4" s="46">
        <v>0</v>
      </c>
      <c r="E4" s="46">
        <v>1E-3</v>
      </c>
      <c r="F4" s="46"/>
      <c r="G4" s="52">
        <v>512744</v>
      </c>
    </row>
    <row r="5" spans="1:8" x14ac:dyDescent="0.7">
      <c r="B5" s="4"/>
      <c r="C5" s="4"/>
      <c r="D5" s="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5FC49-D41A-4BAF-80DB-2AD6D9D40EAC}">
  <dimension ref="A1:E25"/>
  <sheetViews>
    <sheetView tabSelected="1" workbookViewId="0">
      <selection activeCell="G3" sqref="G3"/>
    </sheetView>
  </sheetViews>
  <sheetFormatPr defaultColWidth="8.68359375" defaultRowHeight="18.3" x14ac:dyDescent="0.7"/>
  <cols>
    <col min="1" max="1" width="25.1015625" style="2" customWidth="1"/>
    <col min="2" max="2" width="26.47265625" style="2" bestFit="1" customWidth="1"/>
    <col min="3" max="3" width="22" style="2" bestFit="1" customWidth="1"/>
    <col min="4" max="4" width="21.89453125" style="2" bestFit="1" customWidth="1"/>
    <col min="5" max="5" width="22.26171875" style="2" bestFit="1" customWidth="1"/>
    <col min="6" max="8" width="8.68359375" style="2"/>
    <col min="9" max="9" width="21.83984375" style="2" bestFit="1" customWidth="1"/>
    <col min="10" max="10" width="15.68359375" style="2" customWidth="1"/>
    <col min="11" max="11" width="15.578125" style="2" customWidth="1"/>
    <col min="12" max="12" width="15.83984375" style="2" customWidth="1"/>
    <col min="13" max="16384" width="8.68359375" style="2"/>
  </cols>
  <sheetData>
    <row r="1" spans="1:5" s="23" customFormat="1" ht="37.799999999999997" x14ac:dyDescent="0.9">
      <c r="A1" s="37" t="s">
        <v>25</v>
      </c>
      <c r="B1" s="38" t="s">
        <v>55</v>
      </c>
      <c r="C1" s="38" t="s">
        <v>52</v>
      </c>
      <c r="D1" s="38" t="s">
        <v>53</v>
      </c>
      <c r="E1" s="39" t="s">
        <v>54</v>
      </c>
    </row>
    <row r="2" spans="1:5" x14ac:dyDescent="0.7">
      <c r="A2" s="40" t="s">
        <v>1</v>
      </c>
      <c r="B2" s="41">
        <v>134658</v>
      </c>
      <c r="C2" s="41">
        <v>11.91</v>
      </c>
      <c r="D2" s="41">
        <v>4.6999999999999999E-4</v>
      </c>
      <c r="E2" s="42">
        <v>9.0000000000000006E-5</v>
      </c>
    </row>
    <row r="3" spans="1:5" x14ac:dyDescent="0.7">
      <c r="A3" s="40" t="s">
        <v>2</v>
      </c>
      <c r="B3" s="41">
        <v>4380</v>
      </c>
      <c r="C3" s="41">
        <v>8.1300000000000008</v>
      </c>
      <c r="D3" s="41">
        <v>3.6000000000000002E-4</v>
      </c>
      <c r="E3" s="42">
        <v>6.9999999999999994E-5</v>
      </c>
    </row>
    <row r="4" spans="1:5" x14ac:dyDescent="0.7">
      <c r="A4" s="40" t="s">
        <v>3</v>
      </c>
      <c r="B4" s="41">
        <v>1443575</v>
      </c>
      <c r="C4" s="41">
        <f>'Multitype Fuels'!B5</f>
        <v>10.450000000000001</v>
      </c>
      <c r="D4" s="43">
        <f>'Multitype Fuels'!C5</f>
        <v>4.2333333333333334E-4</v>
      </c>
      <c r="E4" s="44">
        <f>'Multitype Fuels'!D5</f>
        <v>8.3333333333333331E-5</v>
      </c>
    </row>
    <row r="5" spans="1:5" x14ac:dyDescent="0.7">
      <c r="A5" s="40" t="s">
        <v>4</v>
      </c>
      <c r="B5" s="41">
        <v>568305</v>
      </c>
      <c r="C5" s="41">
        <v>9.75</v>
      </c>
      <c r="D5" s="41">
        <v>4.0999999999999999E-4</v>
      </c>
      <c r="E5" s="42">
        <v>8.0000000000000007E-5</v>
      </c>
    </row>
    <row r="6" spans="1:5" x14ac:dyDescent="0.7">
      <c r="A6" s="40" t="s">
        <v>5</v>
      </c>
      <c r="B6" s="41">
        <v>1460</v>
      </c>
      <c r="C6" s="41">
        <v>10.15</v>
      </c>
      <c r="D6" s="41">
        <v>4.0999999999999999E-4</v>
      </c>
      <c r="E6" s="42">
        <v>8.0000000000000007E-5</v>
      </c>
    </row>
    <row r="7" spans="1:5" x14ac:dyDescent="0.7">
      <c r="A7" s="40" t="s">
        <v>6</v>
      </c>
      <c r="B7" s="41">
        <v>429970</v>
      </c>
      <c r="C7" s="41">
        <v>5.72</v>
      </c>
      <c r="D7" s="41">
        <v>2.7E-4</v>
      </c>
      <c r="E7" s="42">
        <v>5.0000000000000002E-5</v>
      </c>
    </row>
    <row r="8" spans="1:5" x14ac:dyDescent="0.7">
      <c r="A8" s="40" t="s">
        <v>7</v>
      </c>
      <c r="B8" s="41">
        <v>140890</v>
      </c>
      <c r="C8" s="41">
        <v>6.17</v>
      </c>
      <c r="D8" s="41">
        <v>2.7E-4</v>
      </c>
      <c r="E8" s="42">
        <v>5.0000000000000002E-5</v>
      </c>
    </row>
    <row r="9" spans="1:5" x14ac:dyDescent="0.7">
      <c r="A9" s="40" t="s">
        <v>8</v>
      </c>
      <c r="B9" s="41">
        <v>1026015</v>
      </c>
      <c r="C9" s="41">
        <v>5.68</v>
      </c>
      <c r="D9" s="41">
        <v>2.7999999999999998E-4</v>
      </c>
      <c r="E9" s="42">
        <v>6.0000000000000002E-5</v>
      </c>
    </row>
    <row r="10" spans="1:5" x14ac:dyDescent="0.7">
      <c r="A10" s="40" t="s">
        <v>9</v>
      </c>
      <c r="B10" s="41">
        <v>40150</v>
      </c>
      <c r="C10" s="41">
        <v>10.69</v>
      </c>
      <c r="D10" s="41">
        <v>4.2999999999999999E-4</v>
      </c>
      <c r="E10" s="42">
        <v>9.0000000000000006E-5</v>
      </c>
    </row>
    <row r="11" spans="1:5" x14ac:dyDescent="0.7">
      <c r="A11" s="40" t="s">
        <v>10</v>
      </c>
      <c r="B11" s="41">
        <v>3197765</v>
      </c>
      <c r="C11" s="41">
        <v>8.7799999999999994</v>
      </c>
      <c r="D11" s="41">
        <v>3.8000000000000002E-4</v>
      </c>
      <c r="E11" s="42">
        <v>8.0000000000000007E-5</v>
      </c>
    </row>
    <row r="12" spans="1:5" x14ac:dyDescent="0.7">
      <c r="A12" s="40" t="s">
        <v>20</v>
      </c>
      <c r="B12" s="41">
        <v>94900</v>
      </c>
      <c r="C12" s="41">
        <v>14.64</v>
      </c>
      <c r="D12" s="41">
        <v>4.2999999999999999E-4</v>
      </c>
      <c r="E12" s="42">
        <v>9.0000000000000006E-5</v>
      </c>
    </row>
    <row r="13" spans="1:5" x14ac:dyDescent="0.7">
      <c r="A13" s="40" t="s">
        <v>11</v>
      </c>
      <c r="B13" s="41">
        <v>123735</v>
      </c>
      <c r="C13" s="41">
        <f>'Multitype Fuels'!B10</f>
        <v>10.74</v>
      </c>
      <c r="D13" s="43">
        <f>'Multitype Fuels'!C10</f>
        <v>4.35E-4</v>
      </c>
      <c r="E13" s="44">
        <f>'Multitype Fuels'!D10</f>
        <v>8.5000000000000006E-5</v>
      </c>
    </row>
    <row r="14" spans="1:5" x14ac:dyDescent="0.7">
      <c r="A14" s="40" t="s">
        <v>12</v>
      </c>
      <c r="B14" s="41">
        <v>503335</v>
      </c>
      <c r="C14" s="41">
        <v>10.59</v>
      </c>
      <c r="D14" s="41">
        <v>4.2000000000000002E-4</v>
      </c>
      <c r="E14" s="42">
        <v>8.0000000000000007E-5</v>
      </c>
    </row>
    <row r="15" spans="1:5" x14ac:dyDescent="0.7">
      <c r="A15" s="45" t="s">
        <v>15</v>
      </c>
      <c r="B15" s="46">
        <f>SUM(B2:B14)</f>
        <v>7709138</v>
      </c>
      <c r="C15" s="47">
        <f>($B2/$B15)*C2+($B3/$B15)*C3+($B4/$B15)*C4+($B5/$B15)*C5+($B6/$B15)*C6+($B7/$B15)*C7+($B8/$B15)*C8+($B9/$B15)*C9+($B10/$B15)*C10+($B11/$B15)*C11+($B12/$B15)*C12+($B13/$B15)*C13+($B14/$B15)*C14</f>
        <v>8.8195554846728648</v>
      </c>
      <c r="D15" s="47">
        <f t="shared" ref="D15:E15" si="0">($B2/$B15)*D2+($B3/$B15)*D3+($B4/$B15)*D4+($B5/$B15)*D5+($B6/$B15)*D6+($B7/$B15)*D7+($B8/$B15)*D8+($B9/$B15)*D9+($B10/$B15)*D10+($B11/$B15)*D11+($B12/$B15)*D12+($B13/$B15)*D13+($B14/$B15)*D14</f>
        <v>3.7480807214330144E-4</v>
      </c>
      <c r="E15" s="48">
        <f t="shared" si="0"/>
        <v>7.6165300409289174E-5</v>
      </c>
    </row>
    <row r="17" spans="1:5" s="23" customFormat="1" ht="39" x14ac:dyDescent="0.7">
      <c r="A17" s="49" t="s">
        <v>27</v>
      </c>
      <c r="B17" s="49" t="s">
        <v>59</v>
      </c>
      <c r="C17" s="49" t="s">
        <v>60</v>
      </c>
      <c r="D17" s="49" t="s">
        <v>61</v>
      </c>
      <c r="E17" s="49" t="s">
        <v>62</v>
      </c>
    </row>
    <row r="18" spans="1:5" x14ac:dyDescent="0.7">
      <c r="A18" s="41" t="s">
        <v>13</v>
      </c>
      <c r="B18" s="41">
        <v>30284000</v>
      </c>
      <c r="C18" s="41">
        <v>54.44</v>
      </c>
      <c r="D18" s="41">
        <v>1.0300000000000001E-3</v>
      </c>
      <c r="E18" s="41">
        <v>1E-4</v>
      </c>
    </row>
    <row r="19" spans="1:5" x14ac:dyDescent="0.7">
      <c r="A19" s="41"/>
      <c r="B19" s="41"/>
      <c r="C19" s="41"/>
      <c r="D19" s="41"/>
      <c r="E19" s="41"/>
    </row>
    <row r="20" spans="1:5" s="23" customFormat="1" ht="37.799999999999997" x14ac:dyDescent="0.9">
      <c r="A20" s="49" t="s">
        <v>28</v>
      </c>
      <c r="B20" s="49" t="s">
        <v>47</v>
      </c>
      <c r="C20" s="49" t="s">
        <v>56</v>
      </c>
      <c r="D20" s="49" t="s">
        <v>57</v>
      </c>
      <c r="E20" s="49" t="s">
        <v>58</v>
      </c>
    </row>
    <row r="21" spans="1:5" x14ac:dyDescent="0.7">
      <c r="A21" s="41" t="s">
        <v>19</v>
      </c>
      <c r="B21" s="41">
        <v>813</v>
      </c>
      <c r="C21" s="41">
        <v>2016</v>
      </c>
      <c r="D21" s="41">
        <v>0.23499999999999999</v>
      </c>
      <c r="E21" s="41">
        <v>3.4000000000000002E-2</v>
      </c>
    </row>
    <row r="22" spans="1:5" x14ac:dyDescent="0.7">
      <c r="A22" s="41" t="s">
        <v>18</v>
      </c>
      <c r="B22" s="41">
        <v>469938</v>
      </c>
      <c r="C22" s="41">
        <v>1885</v>
      </c>
      <c r="D22" s="41">
        <v>0.217</v>
      </c>
      <c r="E22" s="41">
        <v>3.2000000000000001E-2</v>
      </c>
    </row>
    <row r="23" spans="1:5" x14ac:dyDescent="0.7">
      <c r="A23" s="41" t="s">
        <v>17</v>
      </c>
      <c r="B23" s="41">
        <v>26044</v>
      </c>
      <c r="C23" s="41">
        <v>2116</v>
      </c>
      <c r="D23" s="41">
        <v>0.246</v>
      </c>
      <c r="E23" s="41">
        <v>3.5999999999999997E-2</v>
      </c>
    </row>
    <row r="24" spans="1:5" x14ac:dyDescent="0.7">
      <c r="A24" s="41" t="s">
        <v>16</v>
      </c>
      <c r="B24" s="41">
        <v>15949</v>
      </c>
      <c r="C24" s="41">
        <v>2468</v>
      </c>
      <c r="D24" s="41">
        <v>0.28899999999999998</v>
      </c>
      <c r="E24" s="41">
        <v>4.2000000000000003E-2</v>
      </c>
    </row>
    <row r="25" spans="1:5" x14ac:dyDescent="0.7">
      <c r="A25" s="41" t="s">
        <v>15</v>
      </c>
      <c r="B25" s="41">
        <f>SUM(B21:B24)</f>
        <v>512744</v>
      </c>
      <c r="C25" s="50">
        <f>($B21/$B25)*C21+($B22/$B25)*C22+($B23/$B25)*C23+($B24/$B25)*C24</f>
        <v>1915.0753085360338</v>
      </c>
      <c r="D25" s="51">
        <f>($B21/$B25)*D21+($B22/$B25)*D22+($B23/$B25)*D23+($B24/$B25)*D24</f>
        <v>0.22074112227544349</v>
      </c>
      <c r="E25" s="51">
        <f>($B21/$B25)*E21+($B22/$B25)*E22+($B23/$B25)*E23+($B24/$B25)*E24</f>
        <v>3.2517396595572054E-2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A86F-FEE9-4959-9B6D-6D459413E324}">
  <dimension ref="A1:D10"/>
  <sheetViews>
    <sheetView workbookViewId="0">
      <selection activeCell="C9" sqref="C9"/>
    </sheetView>
  </sheetViews>
  <sheetFormatPr defaultRowHeight="14.4" x14ac:dyDescent="0.55000000000000004"/>
  <cols>
    <col min="1" max="1" width="29.26171875" bestFit="1" customWidth="1"/>
    <col min="2" max="2" width="21.41796875" bestFit="1" customWidth="1"/>
    <col min="3" max="4" width="19.83984375" bestFit="1" customWidth="1"/>
    <col min="5" max="5" width="20.15625" bestFit="1" customWidth="1"/>
  </cols>
  <sheetData>
    <row r="1" spans="1:4" ht="20.7" x14ac:dyDescent="0.9">
      <c r="A1" s="41" t="s">
        <v>26</v>
      </c>
      <c r="B1" s="41" t="s">
        <v>52</v>
      </c>
      <c r="C1" s="41" t="s">
        <v>53</v>
      </c>
      <c r="D1" s="41" t="s">
        <v>54</v>
      </c>
    </row>
    <row r="2" spans="1:4" ht="18.3" x14ac:dyDescent="0.7">
      <c r="A2" s="41" t="s">
        <v>48</v>
      </c>
      <c r="B2" s="41">
        <v>10.18</v>
      </c>
      <c r="C2" s="41">
        <v>4.2000000000000002E-4</v>
      </c>
      <c r="D2" s="41">
        <v>8.0000000000000007E-5</v>
      </c>
    </row>
    <row r="3" spans="1:4" ht="18.3" x14ac:dyDescent="0.7">
      <c r="A3" s="41" t="s">
        <v>49</v>
      </c>
      <c r="B3" s="41">
        <v>10.210000000000001</v>
      </c>
      <c r="C3" s="41">
        <v>4.0999999999999999E-4</v>
      </c>
      <c r="D3" s="41">
        <v>8.0000000000000007E-5</v>
      </c>
    </row>
    <row r="4" spans="1:4" ht="18.3" x14ac:dyDescent="0.7">
      <c r="A4" s="41" t="s">
        <v>50</v>
      </c>
      <c r="B4" s="41">
        <v>10.96</v>
      </c>
      <c r="C4" s="41">
        <v>4.4000000000000002E-4</v>
      </c>
      <c r="D4" s="41">
        <v>9.0000000000000006E-5</v>
      </c>
    </row>
    <row r="5" spans="1:4" ht="18.3" x14ac:dyDescent="0.7">
      <c r="A5" s="41" t="s">
        <v>51</v>
      </c>
      <c r="B5" s="41">
        <f>AVERAGE(B2:B4)</f>
        <v>10.450000000000001</v>
      </c>
      <c r="C5" s="41">
        <f>AVERAGE(C2:C4)</f>
        <v>4.2333333333333334E-4</v>
      </c>
      <c r="D5" s="41">
        <f>AVERAGE(D2:D4)</f>
        <v>8.3333333333333331E-5</v>
      </c>
    </row>
    <row r="6" spans="1:4" ht="18.3" x14ac:dyDescent="0.7">
      <c r="A6" s="41"/>
      <c r="B6" s="41"/>
      <c r="C6" s="41"/>
      <c r="D6" s="41"/>
    </row>
    <row r="7" spans="1:4" ht="20.7" x14ac:dyDescent="0.9">
      <c r="A7" s="41" t="s">
        <v>26</v>
      </c>
      <c r="B7" s="41" t="s">
        <v>52</v>
      </c>
      <c r="C7" s="41" t="s">
        <v>53</v>
      </c>
      <c r="D7" s="41" t="s">
        <v>54</v>
      </c>
    </row>
    <row r="8" spans="1:4" ht="18.3" x14ac:dyDescent="0.7">
      <c r="A8" s="41" t="s">
        <v>21</v>
      </c>
      <c r="B8" s="41">
        <v>10.210000000000001</v>
      </c>
      <c r="C8" s="41">
        <v>4.2000000000000002E-4</v>
      </c>
      <c r="D8" s="41">
        <v>8.0000000000000007E-5</v>
      </c>
    </row>
    <row r="9" spans="1:4" ht="18.3" x14ac:dyDescent="0.7">
      <c r="A9" s="41" t="s">
        <v>22</v>
      </c>
      <c r="B9" s="41">
        <v>11.27</v>
      </c>
      <c r="C9" s="41">
        <v>4.4999999999999999E-4</v>
      </c>
      <c r="D9" s="41">
        <v>9.0000000000000006E-5</v>
      </c>
    </row>
    <row r="10" spans="1:4" ht="18.3" x14ac:dyDescent="0.7">
      <c r="A10" s="41" t="s">
        <v>23</v>
      </c>
      <c r="B10" s="41">
        <f>AVERAGE(B8:B9)</f>
        <v>10.74</v>
      </c>
      <c r="C10" s="41">
        <f>AVERAGE(C8:C9)</f>
        <v>4.35E-4</v>
      </c>
      <c r="D10" s="41">
        <f>AVERAGE(D8:D9)</f>
        <v>8.5000000000000006E-5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F39B-EED5-42E2-A8E6-9D5318B2AA6C}">
  <dimension ref="A1:C10"/>
  <sheetViews>
    <sheetView workbookViewId="0">
      <selection activeCell="A9" sqref="A9"/>
    </sheetView>
  </sheetViews>
  <sheetFormatPr defaultRowHeight="14.4" x14ac:dyDescent="0.55000000000000004"/>
  <cols>
    <col min="1" max="1" width="34.578125" customWidth="1"/>
    <col min="2" max="2" width="17.1015625" customWidth="1"/>
  </cols>
  <sheetData>
    <row r="1" spans="1:3" ht="18.3" x14ac:dyDescent="0.7">
      <c r="A1" s="13" t="s">
        <v>29</v>
      </c>
      <c r="B1" s="14" t="s">
        <v>45</v>
      </c>
    </row>
    <row r="2" spans="1:3" ht="18.3" x14ac:dyDescent="0.7">
      <c r="A2" s="15" t="s">
        <v>42</v>
      </c>
      <c r="B2" s="16">
        <v>5800000</v>
      </c>
      <c r="C2" s="1"/>
    </row>
    <row r="3" spans="1:3" ht="18.3" x14ac:dyDescent="0.7">
      <c r="A3" s="17" t="s">
        <v>41</v>
      </c>
      <c r="B3" s="18">
        <v>1032000</v>
      </c>
      <c r="C3" s="1"/>
    </row>
    <row r="4" spans="1:3" ht="18.3" x14ac:dyDescent="0.7">
      <c r="A4" s="15" t="s">
        <v>40</v>
      </c>
      <c r="B4" s="16">
        <v>20387000</v>
      </c>
      <c r="C4" s="1"/>
    </row>
    <row r="5" spans="1:3" ht="18.3" x14ac:dyDescent="0.7">
      <c r="A5" s="19" t="s">
        <v>43</v>
      </c>
      <c r="B5" s="20">
        <v>1000</v>
      </c>
    </row>
    <row r="6" spans="1:3" ht="18.3" x14ac:dyDescent="0.7">
      <c r="A6" s="17" t="s">
        <v>44</v>
      </c>
      <c r="B6" s="18">
        <v>42</v>
      </c>
    </row>
    <row r="7" spans="1:3" ht="20.7" x14ac:dyDescent="0.9">
      <c r="A7" s="19" t="s">
        <v>87</v>
      </c>
      <c r="B7" s="20">
        <v>1</v>
      </c>
    </row>
    <row r="8" spans="1:3" ht="20.7" x14ac:dyDescent="0.9">
      <c r="A8" s="17" t="s">
        <v>88</v>
      </c>
      <c r="B8" s="18">
        <v>30</v>
      </c>
    </row>
    <row r="9" spans="1:3" ht="20.7" x14ac:dyDescent="0.9">
      <c r="A9" s="21" t="s">
        <v>89</v>
      </c>
      <c r="B9" s="22">
        <v>273</v>
      </c>
    </row>
    <row r="10" spans="1:3" ht="18.3" x14ac:dyDescent="0.7">
      <c r="A10" s="11"/>
      <c r="B10" s="12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Substitution Rates</vt:lpstr>
      <vt:lpstr>Industry Data</vt:lpstr>
      <vt:lpstr>Downstream EFs</vt:lpstr>
      <vt:lpstr>Multitype Fuels</vt:lpstr>
      <vt:lpstr>Conversion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Wolvovsky, Eric J</dc:creator>
  <cp:lastModifiedBy>Chen, Paulina E</cp:lastModifiedBy>
  <dcterms:created xsi:type="dcterms:W3CDTF">2023-06-21T01:05:29Z</dcterms:created>
  <dcterms:modified xsi:type="dcterms:W3CDTF">2023-09-08T18:14:47Z</dcterms:modified>
</cp:coreProperties>
</file>