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5.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7.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8.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9.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filterPrivacy="1"/>
  <xr:revisionPtr revIDLastSave="0" documentId="13_ncr:1_{04CA5DF7-0903-48F1-A73D-B9F2C9B1F028}" xr6:coauthVersionLast="45" xr6:coauthVersionMax="45" xr10:uidLastSave="{00000000-0000-0000-0000-000000000000}"/>
  <workbookProtection workbookAlgorithmName="SHA-512" workbookHashValue="++VYaMJ9+UxF7VQadmnzmEmAyWpPhHkKm6O6BYnKHRJm2PjvPf1OYdX2lkbZWpi+/gAz3CL16uGmji66fTX4LQ==" workbookSaltValue="ymn407obqHRILzdeO88DQQ==" workbookSpinCount="100000" lockStructure="1"/>
  <bookViews>
    <workbookView xWindow="38280" yWindow="-120" windowWidth="29040" windowHeight="15840" tabRatio="737" activeTab="1" xr2:uid="{00000000-000D-0000-FFFF-FFFF00000000}"/>
  </bookViews>
  <sheets>
    <sheet name="Instructions" sheetId="11" r:id="rId1"/>
    <sheet name="Calcs" sheetId="1" r:id="rId2"/>
    <sheet name="Fishes SB0" sheetId="3" r:id="rId3"/>
    <sheet name="Fishes SB1" sheetId="9" r:id="rId4"/>
    <sheet name="Fishes SB2" sheetId="10" r:id="rId5"/>
    <sheet name="Sea Turtles" sheetId="4" r:id="rId6"/>
    <sheet name="LF Cetacean" sheetId="5" r:id="rId7"/>
    <sheet name="MF Cetacean" sheetId="6" r:id="rId8"/>
    <sheet name="HF Cetacean" sheetId="7" r:id="rId9"/>
    <sheet name="Phocids" sheetId="8" r:id="rId10"/>
  </sheets>
  <definedNames>
    <definedName name="A_0">Calcs!$B$37</definedName>
    <definedName name="A_1">Calcs!$B$38</definedName>
    <definedName name="A_2">Calcs!$B$39</definedName>
    <definedName name="A_3">Calcs!$B$40</definedName>
    <definedName name="Acorr">Calcs!$B$21</definedName>
    <definedName name="alpha">Calcs!$B$56</definedName>
    <definedName name="Arms">Calcs!$B$23</definedName>
    <definedName name="Bcorr">Calcs!$B$22</definedName>
    <definedName name="betased">Calcs!$B$16</definedName>
    <definedName name="Brms">Calcs!$B$24</definedName>
    <definedName name="c_sed">Calcs!$B$49</definedName>
    <definedName name="costheta">Calcs!$B$31</definedName>
    <definedName name="costhetac">Calcs!$B$44</definedName>
    <definedName name="costhtea">Calcs!$B$31</definedName>
    <definedName name="csed">Calcs!$B$43</definedName>
    <definedName name="cw">Calcs!$B$13</definedName>
    <definedName name="D">Calcs!$B$15</definedName>
    <definedName name="dlog10R">Calcs!$F$4</definedName>
    <definedName name="dR">Calcs!#REF!</definedName>
    <definedName name="epsilon">Calcs!$B$51</definedName>
    <definedName name="eta">Calcs!$B$52</definedName>
    <definedName name="FKHZ">Calcs!$BB$63</definedName>
    <definedName name="gamma">Calcs!$B$50</definedName>
    <definedName name="H">Calcs!$B$7</definedName>
    <definedName name="Lchh">Calcs!$B$55</definedName>
    <definedName name="ln_10">Calcs!$B$27</definedName>
    <definedName name="Lpk0">#REF!</definedName>
    <definedName name="Lrms0">#REF!</definedName>
    <definedName name="name">Calcs!#REF!</definedName>
    <definedName name="Nstrikes">Calcs!$B$10</definedName>
    <definedName name="pi">Calcs!$B$26</definedName>
    <definedName name="_xlnm.Print_Area" localSheetId="1">Calcs!$A$1:$L$68</definedName>
    <definedName name="_xlnm.Print_Area" localSheetId="0">Instructions!$A$1:$E$71</definedName>
    <definedName name="R_1">Calcs!$B$9</definedName>
    <definedName name="R_c">Calcs!$B$33</definedName>
    <definedName name="Rchh">Calcs!$B$54</definedName>
    <definedName name="rhosed">Calcs!$B$46</definedName>
    <definedName name="rhow">Calcs!$B$14</definedName>
    <definedName name="Rmin">Calcs!#REF!</definedName>
    <definedName name="S_2">Calcs!$B$53</definedName>
    <definedName name="SEL_1">Calcs!$B$8</definedName>
    <definedName name="SEL0">#REF!</definedName>
    <definedName name="sintheta">Calcs!$B$30</definedName>
    <definedName name="sinthetac">Calcs!$B$45</definedName>
    <definedName name="Sw">Calcs!$B$36</definedName>
    <definedName name="tantheta">Calcs!$B$32</definedName>
    <definedName name="thetaMach">Calcs!$B$17</definedName>
    <definedName name="thetarad">Calcs!$B$29</definedName>
    <definedName name="Tw">Calcs!$B$35</definedName>
    <definedName name="Vsed">Calcs!$B$42</definedName>
    <definedName name="Vw">Calcs!$B$41</definedName>
    <definedName name="wsed">Calcs!$B$47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 l="1"/>
  <c r="H6" i="1"/>
  <c r="G7" i="1"/>
  <c r="H7" i="1"/>
  <c r="G8" i="1"/>
  <c r="H8" i="1"/>
  <c r="G9" i="1"/>
  <c r="H9" i="1"/>
  <c r="G10" i="1"/>
  <c r="H10" i="1"/>
  <c r="G11" i="1"/>
  <c r="H11" i="1"/>
  <c r="G12" i="1"/>
  <c r="H12" i="1"/>
  <c r="G13" i="1"/>
  <c r="H13" i="1"/>
  <c r="G14" i="1"/>
  <c r="H14" i="1"/>
  <c r="G15" i="1"/>
  <c r="H15" i="1"/>
  <c r="G16" i="1"/>
  <c r="H16" i="1"/>
  <c r="G17" i="1"/>
  <c r="H17" i="1"/>
  <c r="G18" i="1"/>
  <c r="H18" i="1"/>
  <c r="A1" i="11" l="1"/>
  <c r="B30" i="8"/>
  <c r="B29" i="8"/>
  <c r="B28" i="8"/>
  <c r="B27" i="8"/>
  <c r="B26" i="8"/>
  <c r="B25" i="8"/>
  <c r="B24" i="8"/>
  <c r="B23" i="8"/>
  <c r="B22" i="8"/>
  <c r="B21" i="8"/>
  <c r="B30" i="7"/>
  <c r="B29" i="7"/>
  <c r="B28" i="7"/>
  <c r="B27" i="7"/>
  <c r="B26" i="7"/>
  <c r="B25" i="7"/>
  <c r="B24" i="7"/>
  <c r="B23" i="7"/>
  <c r="B22" i="7"/>
  <c r="B21" i="7"/>
  <c r="B30" i="6"/>
  <c r="B29" i="6"/>
  <c r="B28" i="6"/>
  <c r="B27" i="6"/>
  <c r="B26" i="6"/>
  <c r="B25" i="6"/>
  <c r="B24" i="6"/>
  <c r="B23" i="6"/>
  <c r="B22" i="6"/>
  <c r="B21" i="6"/>
  <c r="B30" i="5"/>
  <c r="B29" i="5"/>
  <c r="B28" i="5"/>
  <c r="B27" i="5"/>
  <c r="B26" i="5"/>
  <c r="B25" i="5"/>
  <c r="B24" i="5"/>
  <c r="B23" i="5"/>
  <c r="B22" i="5"/>
  <c r="B21" i="5"/>
  <c r="B30" i="4"/>
  <c r="B29" i="4"/>
  <c r="B28" i="4"/>
  <c r="B27" i="4"/>
  <c r="B26" i="4"/>
  <c r="B25" i="4"/>
  <c r="B24" i="4"/>
  <c r="B23" i="4"/>
  <c r="B22" i="4"/>
  <c r="B21" i="4"/>
  <c r="B30" i="10"/>
  <c r="B29" i="10"/>
  <c r="B28" i="10"/>
  <c r="B27" i="10"/>
  <c r="B26" i="10"/>
  <c r="B25" i="10"/>
  <c r="B24" i="10"/>
  <c r="B23" i="10"/>
  <c r="B22" i="10"/>
  <c r="B21" i="10"/>
  <c r="B30" i="9"/>
  <c r="B29" i="9"/>
  <c r="B28" i="9"/>
  <c r="B27" i="9"/>
  <c r="B26" i="9"/>
  <c r="B25" i="9"/>
  <c r="B24" i="9"/>
  <c r="B23" i="9"/>
  <c r="B22" i="9"/>
  <c r="B21" i="9"/>
  <c r="B29" i="3"/>
  <c r="B28" i="3"/>
  <c r="B27" i="3"/>
  <c r="B26" i="3"/>
  <c r="B25" i="3"/>
  <c r="B24" i="3"/>
  <c r="B23" i="3"/>
  <c r="B22" i="3"/>
  <c r="B21" i="3"/>
  <c r="B20" i="3"/>
  <c r="A1" i="3" l="1"/>
  <c r="F1" i="10"/>
  <c r="A1" i="10"/>
  <c r="F1" i="4"/>
  <c r="A1" i="4"/>
  <c r="F1" i="5"/>
  <c r="A1" i="5"/>
  <c r="F1" i="6"/>
  <c r="A1" i="6"/>
  <c r="F1" i="7"/>
  <c r="A1" i="7"/>
  <c r="F1" i="8"/>
  <c r="A1" i="8"/>
  <c r="F1" i="9"/>
  <c r="A1" i="9"/>
  <c r="F1" i="3" l="1"/>
  <c r="AZ55" i="1" l="1"/>
  <c r="AZ56" i="1" s="1"/>
  <c r="AS55" i="1"/>
  <c r="AU55" i="1" s="1"/>
  <c r="AU56" i="1" s="1"/>
  <c r="AL55" i="1"/>
  <c r="AL56" i="1" s="1"/>
  <c r="AE55" i="1"/>
  <c r="AG55" i="1" s="1"/>
  <c r="AG56" i="1" s="1"/>
  <c r="B46" i="1"/>
  <c r="B42" i="1"/>
  <c r="B38" i="1"/>
  <c r="B37" i="1"/>
  <c r="B41" i="1" s="1"/>
  <c r="B27" i="1"/>
  <c r="B26" i="1"/>
  <c r="F6" i="1"/>
  <c r="J3" i="1"/>
  <c r="F7" i="1" l="1"/>
  <c r="F8" i="1" s="1"/>
  <c r="B29" i="1"/>
  <c r="B31" i="1" s="1"/>
  <c r="BB55" i="1"/>
  <c r="BB56" i="1" s="1"/>
  <c r="AN55" i="1"/>
  <c r="AN56" i="1" s="1"/>
  <c r="F9" i="1"/>
  <c r="B43" i="1"/>
  <c r="B47" i="1"/>
  <c r="AE56" i="1"/>
  <c r="AS56" i="1"/>
  <c r="B30" i="1" l="1"/>
  <c r="B32" i="1" s="1"/>
  <c r="B44" i="1"/>
  <c r="B49" i="1"/>
  <c r="F10" i="1"/>
  <c r="B45" i="1" l="1"/>
  <c r="F11" i="1"/>
  <c r="B33" i="1"/>
  <c r="B50" i="1"/>
  <c r="F12" i="1" l="1"/>
  <c r="B51" i="1"/>
  <c r="B53" i="1"/>
  <c r="B52" i="1" l="1"/>
  <c r="F13" i="1"/>
  <c r="B54" i="1" l="1"/>
  <c r="F14" i="1"/>
  <c r="F15" i="1" l="1"/>
  <c r="B55" i="1"/>
  <c r="B56" i="1" l="1"/>
  <c r="F16" i="1"/>
  <c r="I8" i="1" l="1"/>
  <c r="J8" i="1" s="1"/>
  <c r="I7" i="1"/>
  <c r="J7" i="1" s="1"/>
  <c r="I10" i="1"/>
  <c r="J10" i="1" s="1"/>
  <c r="I12" i="1"/>
  <c r="J12" i="1" s="1"/>
  <c r="I14" i="1"/>
  <c r="J14" i="1" s="1"/>
  <c r="I16" i="1"/>
  <c r="J16" i="1" s="1"/>
  <c r="I6" i="1"/>
  <c r="J6" i="1" s="1"/>
  <c r="I13" i="1"/>
  <c r="J13" i="1" s="1"/>
  <c r="I18" i="1"/>
  <c r="J18" i="1" s="1"/>
  <c r="I9" i="1"/>
  <c r="J9" i="1" s="1"/>
  <c r="I11" i="1"/>
  <c r="J11" i="1" s="1"/>
  <c r="I15" i="1"/>
  <c r="J15" i="1" s="1"/>
  <c r="I17" i="1"/>
  <c r="J17" i="1" s="1"/>
  <c r="F17" i="1"/>
  <c r="K14" i="1" l="1"/>
  <c r="L14" i="1"/>
  <c r="L11" i="1"/>
  <c r="K11" i="1"/>
  <c r="K9" i="1"/>
  <c r="L9" i="1"/>
  <c r="BA14" i="1"/>
  <c r="AK14" i="1"/>
  <c r="AR14" i="1"/>
  <c r="AF14" i="1"/>
  <c r="AY14" i="1"/>
  <c r="AM14" i="1"/>
  <c r="AT14" i="1"/>
  <c r="AD14" i="1"/>
  <c r="K13" i="1"/>
  <c r="L13" i="1"/>
  <c r="L15" i="1"/>
  <c r="BE14" i="1" s="1"/>
  <c r="K15" i="1"/>
  <c r="AW14" i="1" s="1"/>
  <c r="W14" i="1"/>
  <c r="L10" i="1"/>
  <c r="K10" i="1"/>
  <c r="K8" i="1"/>
  <c r="L8" i="1"/>
  <c r="K6" i="1"/>
  <c r="L6" i="1"/>
  <c r="L12" i="1"/>
  <c r="K12" i="1"/>
  <c r="L7" i="1"/>
  <c r="K7" i="1"/>
  <c r="F18" i="1"/>
  <c r="AB14" i="1" l="1"/>
  <c r="AC14" i="1"/>
  <c r="AX14" i="1"/>
  <c r="AH14" i="1"/>
  <c r="AI14" i="1"/>
  <c r="AV14" i="1"/>
  <c r="T14" i="1"/>
  <c r="Y14" i="1"/>
  <c r="AJ14" i="1"/>
  <c r="AA14" i="1"/>
  <c r="BD14" i="1"/>
  <c r="AQ14" i="1"/>
  <c r="U14" i="1"/>
  <c r="BC14" i="1"/>
  <c r="AQ7" i="1"/>
  <c r="AX7" i="1"/>
  <c r="Y7" i="1"/>
  <c r="BE7" i="1"/>
  <c r="AC7" i="1"/>
  <c r="AJ7" i="1"/>
  <c r="AB7" i="1"/>
  <c r="L16" i="1"/>
  <c r="BE15" i="1" s="1"/>
  <c r="K16" i="1"/>
  <c r="U15" i="1" s="1"/>
  <c r="Z6" i="1"/>
  <c r="V6" i="1"/>
  <c r="AT6" i="1"/>
  <c r="AD6" i="1"/>
  <c r="P6" i="1"/>
  <c r="BA6" i="1"/>
  <c r="AK6" i="1"/>
  <c r="O6" i="1"/>
  <c r="M6" i="1"/>
  <c r="AR6" i="1"/>
  <c r="AF6" i="1"/>
  <c r="W6" i="1"/>
  <c r="R6" i="1"/>
  <c r="N6" i="1"/>
  <c r="Q6" i="1"/>
  <c r="AY6" i="1"/>
  <c r="AM6" i="1"/>
  <c r="BC8" i="1"/>
  <c r="AI8" i="1"/>
  <c r="AP8" i="1"/>
  <c r="AH8" i="1"/>
  <c r="U8" i="1"/>
  <c r="AW8" i="1"/>
  <c r="AO8" i="1"/>
  <c r="BD8" i="1"/>
  <c r="AV8" i="1"/>
  <c r="X8" i="1"/>
  <c r="S8" i="1"/>
  <c r="AA8" i="1"/>
  <c r="T8" i="1"/>
  <c r="AP14" i="1"/>
  <c r="S14" i="1"/>
  <c r="X14" i="1"/>
  <c r="AJ13" i="1"/>
  <c r="AB13" i="1"/>
  <c r="AQ13" i="1"/>
  <c r="AX13" i="1"/>
  <c r="Y13" i="1"/>
  <c r="BE13" i="1"/>
  <c r="AC13" i="1"/>
  <c r="Q14" i="1"/>
  <c r="R14" i="1"/>
  <c r="O14" i="1"/>
  <c r="P14" i="1"/>
  <c r="Z9" i="1"/>
  <c r="AR9" i="1"/>
  <c r="AF9" i="1"/>
  <c r="W9" i="1"/>
  <c r="O9" i="1"/>
  <c r="AY9" i="1"/>
  <c r="AM9" i="1"/>
  <c r="V9" i="1"/>
  <c r="R9" i="1"/>
  <c r="N9" i="1"/>
  <c r="AT9" i="1"/>
  <c r="AD9" i="1"/>
  <c r="Q9" i="1"/>
  <c r="M9" i="1"/>
  <c r="BA9" i="1"/>
  <c r="AK9" i="1"/>
  <c r="P9" i="1"/>
  <c r="AX11" i="1"/>
  <c r="Y11" i="1"/>
  <c r="BE11" i="1"/>
  <c r="AC11" i="1"/>
  <c r="AJ11" i="1"/>
  <c r="AB11" i="1"/>
  <c r="AQ11" i="1"/>
  <c r="Z7" i="1"/>
  <c r="AY7" i="1"/>
  <c r="AM7" i="1"/>
  <c r="V7" i="1"/>
  <c r="R7" i="1"/>
  <c r="N7" i="1"/>
  <c r="AT7" i="1"/>
  <c r="AD7" i="1"/>
  <c r="Q7" i="1"/>
  <c r="M7" i="1"/>
  <c r="BA7" i="1"/>
  <c r="AK7" i="1"/>
  <c r="P7" i="1"/>
  <c r="AR7" i="1"/>
  <c r="AF7" i="1"/>
  <c r="W7" i="1"/>
  <c r="O7" i="1"/>
  <c r="BC12" i="1"/>
  <c r="AI12" i="1"/>
  <c r="AA12" i="1"/>
  <c r="AP12" i="1"/>
  <c r="AH12" i="1"/>
  <c r="U12" i="1"/>
  <c r="AW12" i="1"/>
  <c r="AO12" i="1"/>
  <c r="X12" i="1"/>
  <c r="T12" i="1"/>
  <c r="BD12" i="1"/>
  <c r="AV12" i="1"/>
  <c r="S12" i="1"/>
  <c r="AP6" i="1"/>
  <c r="AH6" i="1"/>
  <c r="AW6" i="1"/>
  <c r="AO6" i="1"/>
  <c r="X6" i="1"/>
  <c r="S6" i="1"/>
  <c r="T6" i="1"/>
  <c r="BD6" i="1"/>
  <c r="AV6" i="1"/>
  <c r="AA6" i="1"/>
  <c r="BC6" i="1"/>
  <c r="AI6" i="1"/>
  <c r="U6" i="1"/>
  <c r="Z10" i="1"/>
  <c r="BA10" i="1"/>
  <c r="AK10" i="1"/>
  <c r="P10" i="1"/>
  <c r="AR10" i="1"/>
  <c r="AF10" i="1"/>
  <c r="W10" i="1"/>
  <c r="O10" i="1"/>
  <c r="AY10" i="1"/>
  <c r="AM10" i="1"/>
  <c r="V10" i="1"/>
  <c r="R10" i="1"/>
  <c r="N10" i="1"/>
  <c r="AT10" i="1"/>
  <c r="AD10" i="1"/>
  <c r="Q10" i="1"/>
  <c r="M10" i="1"/>
  <c r="AO14" i="1"/>
  <c r="Z13" i="1"/>
  <c r="AR13" i="1"/>
  <c r="AS13" i="1" s="1"/>
  <c r="AF13" i="1"/>
  <c r="AG13" i="1" s="1"/>
  <c r="W13" i="1"/>
  <c r="O13" i="1"/>
  <c r="AY13" i="1"/>
  <c r="AZ13" i="1" s="1"/>
  <c r="AM13" i="1"/>
  <c r="AN13" i="1" s="1"/>
  <c r="V13" i="1"/>
  <c r="R13" i="1"/>
  <c r="N13" i="1"/>
  <c r="AT13" i="1"/>
  <c r="AU13" i="1" s="1"/>
  <c r="AD13" i="1"/>
  <c r="AE13" i="1" s="1"/>
  <c r="Q13" i="1"/>
  <c r="M13" i="1"/>
  <c r="BA13" i="1"/>
  <c r="BB13" i="1" s="1"/>
  <c r="AK13" i="1"/>
  <c r="AL13" i="1" s="1"/>
  <c r="P13" i="1"/>
  <c r="V14" i="1"/>
  <c r="BD9" i="1"/>
  <c r="AV9" i="1"/>
  <c r="S9" i="1"/>
  <c r="BC9" i="1"/>
  <c r="AI9" i="1"/>
  <c r="AA9" i="1"/>
  <c r="AP9" i="1"/>
  <c r="AH9" i="1"/>
  <c r="U9" i="1"/>
  <c r="AW9" i="1"/>
  <c r="AO9" i="1"/>
  <c r="X9" i="1"/>
  <c r="T9" i="1"/>
  <c r="AQ12" i="1"/>
  <c r="AX12" i="1"/>
  <c r="Y12" i="1"/>
  <c r="BE12" i="1"/>
  <c r="AC12" i="1"/>
  <c r="AJ12" i="1"/>
  <c r="AB12" i="1"/>
  <c r="AQ8" i="1"/>
  <c r="AX8" i="1"/>
  <c r="Y8" i="1"/>
  <c r="BE8" i="1"/>
  <c r="AJ8" i="1"/>
  <c r="AB8" i="1"/>
  <c r="AC8" i="1"/>
  <c r="AW10" i="1"/>
  <c r="AO10" i="1"/>
  <c r="X10" i="1"/>
  <c r="T10" i="1"/>
  <c r="BD10" i="1"/>
  <c r="AV10" i="1"/>
  <c r="S10" i="1"/>
  <c r="BC10" i="1"/>
  <c r="AI10" i="1"/>
  <c r="AA10" i="1"/>
  <c r="AP10" i="1"/>
  <c r="AH10" i="1"/>
  <c r="U10" i="1"/>
  <c r="BD13" i="1"/>
  <c r="AV13" i="1"/>
  <c r="S13" i="1"/>
  <c r="BC13" i="1"/>
  <c r="AI13" i="1"/>
  <c r="AA13" i="1"/>
  <c r="AP13" i="1"/>
  <c r="AH13" i="1"/>
  <c r="U13" i="1"/>
  <c r="AW13" i="1"/>
  <c r="AO13" i="1"/>
  <c r="X13" i="1"/>
  <c r="T13" i="1"/>
  <c r="Z11" i="1"/>
  <c r="AT11" i="1"/>
  <c r="AD11" i="1"/>
  <c r="Q11" i="1"/>
  <c r="M11" i="1"/>
  <c r="BA11" i="1"/>
  <c r="AK11" i="1"/>
  <c r="P11" i="1"/>
  <c r="AR11" i="1"/>
  <c r="AF11" i="1"/>
  <c r="W11" i="1"/>
  <c r="O11" i="1"/>
  <c r="AY11" i="1"/>
  <c r="AM11" i="1"/>
  <c r="V11" i="1"/>
  <c r="R11" i="1"/>
  <c r="N11" i="1"/>
  <c r="F19" i="1"/>
  <c r="BC7" i="1"/>
  <c r="AI7" i="1"/>
  <c r="AA7" i="1"/>
  <c r="AP7" i="1"/>
  <c r="AH7" i="1"/>
  <c r="U7" i="1"/>
  <c r="AW7" i="1"/>
  <c r="AO7" i="1"/>
  <c r="X7" i="1"/>
  <c r="T7" i="1"/>
  <c r="BD7" i="1"/>
  <c r="AV7" i="1"/>
  <c r="S7" i="1"/>
  <c r="Z12" i="1"/>
  <c r="AY12" i="1"/>
  <c r="AM12" i="1"/>
  <c r="V12" i="1"/>
  <c r="R12" i="1"/>
  <c r="N12" i="1"/>
  <c r="AT12" i="1"/>
  <c r="AD12" i="1"/>
  <c r="Q12" i="1"/>
  <c r="M12" i="1"/>
  <c r="BA12" i="1"/>
  <c r="AK12" i="1"/>
  <c r="P12" i="1"/>
  <c r="AR12" i="1"/>
  <c r="AF12" i="1"/>
  <c r="W12" i="1"/>
  <c r="O12" i="1"/>
  <c r="AX6" i="1"/>
  <c r="BE6" i="1"/>
  <c r="AC6" i="1"/>
  <c r="AJ6" i="1"/>
  <c r="AB6" i="1"/>
  <c r="Y6" i="1"/>
  <c r="AQ6" i="1"/>
  <c r="Z8" i="1"/>
  <c r="AY8" i="1"/>
  <c r="AZ8" i="1" s="1"/>
  <c r="AM8" i="1"/>
  <c r="AT8" i="1"/>
  <c r="AD8" i="1"/>
  <c r="BA8" i="1"/>
  <c r="AK8" i="1"/>
  <c r="AR8" i="1"/>
  <c r="AS8" i="1" s="1"/>
  <c r="AF8" i="1"/>
  <c r="O8" i="1"/>
  <c r="W8" i="1"/>
  <c r="R8" i="1"/>
  <c r="N8" i="1"/>
  <c r="V8" i="1"/>
  <c r="Q8" i="1"/>
  <c r="M8" i="1"/>
  <c r="P8" i="1"/>
  <c r="BE10" i="1"/>
  <c r="AC10" i="1"/>
  <c r="AJ10" i="1"/>
  <c r="AB10" i="1"/>
  <c r="AQ10" i="1"/>
  <c r="AX10" i="1"/>
  <c r="Y10" i="1"/>
  <c r="Z15" i="1"/>
  <c r="AT15" i="1"/>
  <c r="AD15" i="1"/>
  <c r="Q15" i="1"/>
  <c r="M15" i="1"/>
  <c r="BA15" i="1"/>
  <c r="AK15" i="1"/>
  <c r="P15" i="1"/>
  <c r="AR15" i="1"/>
  <c r="AS14" i="1" s="1"/>
  <c r="AF15" i="1"/>
  <c r="W15" i="1"/>
  <c r="O15" i="1"/>
  <c r="AY15" i="1"/>
  <c r="AZ14" i="1" s="1"/>
  <c r="AM15" i="1"/>
  <c r="AN14" i="1" s="1"/>
  <c r="V15" i="1"/>
  <c r="R15" i="1"/>
  <c r="N15" i="1"/>
  <c r="M14" i="1"/>
  <c r="N14" i="1"/>
  <c r="Z14" i="1"/>
  <c r="AJ9" i="1"/>
  <c r="AB9" i="1"/>
  <c r="AQ9" i="1"/>
  <c r="AX9" i="1"/>
  <c r="Y9" i="1"/>
  <c r="BE9" i="1"/>
  <c r="AC9" i="1"/>
  <c r="AP11" i="1"/>
  <c r="AH11" i="1"/>
  <c r="U11" i="1"/>
  <c r="AW11" i="1"/>
  <c r="AO11" i="1"/>
  <c r="X11" i="1"/>
  <c r="T11" i="1"/>
  <c r="BD11" i="1"/>
  <c r="AV11" i="1"/>
  <c r="S11" i="1"/>
  <c r="BC11" i="1"/>
  <c r="AI11" i="1"/>
  <c r="AA11" i="1"/>
  <c r="AJ15" i="1" l="1"/>
  <c r="AB15" i="1"/>
  <c r="AE8" i="1"/>
  <c r="AG12" i="1"/>
  <c r="X15" i="1"/>
  <c r="Y15" i="1"/>
  <c r="AU8" i="1"/>
  <c r="AX15" i="1"/>
  <c r="AS12" i="1"/>
  <c r="AC15" i="1"/>
  <c r="AH15" i="1"/>
  <c r="AQ15" i="1"/>
  <c r="S15" i="1"/>
  <c r="AN8" i="1"/>
  <c r="AL12" i="1"/>
  <c r="AE12" i="1"/>
  <c r="AA15" i="1"/>
  <c r="AV15" i="1"/>
  <c r="AO15" i="1"/>
  <c r="AP15" i="1"/>
  <c r="BB8" i="1"/>
  <c r="AI15" i="1"/>
  <c r="BD15" i="1"/>
  <c r="AW15" i="1"/>
  <c r="AG8" i="1"/>
  <c r="BC15" i="1"/>
  <c r="T15" i="1"/>
  <c r="AZ12" i="1"/>
  <c r="BB12" i="1"/>
  <c r="AU12" i="1"/>
  <c r="AN12" i="1"/>
  <c r="AL8" i="1"/>
  <c r="AZ11" i="1"/>
  <c r="AS11" i="1"/>
  <c r="AE14" i="1"/>
  <c r="AE10" i="1"/>
  <c r="AL10" i="1"/>
  <c r="AG7" i="1"/>
  <c r="BB7" i="1"/>
  <c r="AU7" i="1"/>
  <c r="AN7" i="1"/>
  <c r="AZ9" i="1"/>
  <c r="AS9" i="1"/>
  <c r="AG6" i="1"/>
  <c r="AL6" i="1"/>
  <c r="AU6" i="1"/>
  <c r="F20" i="1"/>
  <c r="G19" i="1"/>
  <c r="AU14" i="1"/>
  <c r="AU10" i="1"/>
  <c r="AN10" i="1"/>
  <c r="AG10" i="1"/>
  <c r="BB10" i="1"/>
  <c r="AS7" i="1"/>
  <c r="AZ7" i="1"/>
  <c r="AS6" i="1"/>
  <c r="BB6" i="1"/>
  <c r="AY16" i="1"/>
  <c r="AM16" i="1"/>
  <c r="AN15" i="1" s="1"/>
  <c r="AT16" i="1"/>
  <c r="AD16" i="1"/>
  <c r="BA16" i="1"/>
  <c r="BB15" i="1" s="1"/>
  <c r="AK16" i="1"/>
  <c r="AR16" i="1"/>
  <c r="AS15" i="1" s="1"/>
  <c r="AF16" i="1"/>
  <c r="AZ15" i="1"/>
  <c r="AL11" i="1"/>
  <c r="AE11" i="1"/>
  <c r="BB14" i="1"/>
  <c r="AL14" i="1"/>
  <c r="AZ10" i="1"/>
  <c r="AS10" i="1"/>
  <c r="AL9" i="1"/>
  <c r="AE9" i="1"/>
  <c r="AN6" i="1"/>
  <c r="AN11" i="1"/>
  <c r="AG11" i="1"/>
  <c r="BB11" i="1"/>
  <c r="AU11" i="1"/>
  <c r="AG14" i="1"/>
  <c r="AL7" i="1"/>
  <c r="AE7" i="1"/>
  <c r="BB9" i="1"/>
  <c r="AU9" i="1"/>
  <c r="AN9" i="1"/>
  <c r="AG9" i="1"/>
  <c r="AZ6" i="1"/>
  <c r="AE6" i="1"/>
  <c r="K17" i="1"/>
  <c r="AP16" i="1" s="1"/>
  <c r="V16" i="1"/>
  <c r="L17" i="1"/>
  <c r="AX16" i="1" s="1"/>
  <c r="AA16" i="1" l="1"/>
  <c r="X16" i="1"/>
  <c r="S16" i="1"/>
  <c r="AO16" i="1"/>
  <c r="BC16" i="1"/>
  <c r="AV16" i="1"/>
  <c r="AW16" i="1"/>
  <c r="BD16" i="1"/>
  <c r="AH16" i="1"/>
  <c r="W16" i="1"/>
  <c r="F21" i="1"/>
  <c r="G20" i="1"/>
  <c r="AJ16" i="1"/>
  <c r="AE15" i="1"/>
  <c r="AR17" i="1"/>
  <c r="AS16" i="1" s="1"/>
  <c r="AF17" i="1"/>
  <c r="AG16" i="1" s="1"/>
  <c r="AY17" i="1"/>
  <c r="AZ16" i="1" s="1"/>
  <c r="AM17" i="1"/>
  <c r="AN16" i="1" s="1"/>
  <c r="AT17" i="1"/>
  <c r="AU16" i="1" s="1"/>
  <c r="AD17" i="1"/>
  <c r="BA17" i="1"/>
  <c r="BB16" i="1" s="1"/>
  <c r="AK17" i="1"/>
  <c r="AL16" i="1" s="1"/>
  <c r="AG15" i="1"/>
  <c r="AC16" i="1"/>
  <c r="AQ16" i="1"/>
  <c r="AL15" i="1"/>
  <c r="L18" i="1"/>
  <c r="AQ17" i="1" s="1"/>
  <c r="K18" i="1"/>
  <c r="BC17" i="1" s="1"/>
  <c r="N17" i="1"/>
  <c r="M16" i="1"/>
  <c r="N16" i="1"/>
  <c r="BE16" i="1"/>
  <c r="T16" i="1"/>
  <c r="U16" i="1"/>
  <c r="AI16" i="1"/>
  <c r="O16" i="1"/>
  <c r="P16" i="1"/>
  <c r="Q16" i="1"/>
  <c r="R16" i="1"/>
  <c r="Z16" i="1"/>
  <c r="I19" i="1"/>
  <c r="H19" i="1"/>
  <c r="AU15" i="1"/>
  <c r="AB16" i="1"/>
  <c r="Y16" i="1"/>
  <c r="AW17" i="1" l="1"/>
  <c r="AA17" i="1"/>
  <c r="AV17" i="1"/>
  <c r="W17" i="1"/>
  <c r="AO17" i="1"/>
  <c r="S17" i="1"/>
  <c r="V17" i="1"/>
  <c r="AP17" i="1"/>
  <c r="T17" i="1"/>
  <c r="U17" i="1"/>
  <c r="AI17" i="1"/>
  <c r="BD17" i="1"/>
  <c r="Y17" i="1"/>
  <c r="AJ17" i="1"/>
  <c r="M17" i="1"/>
  <c r="X17" i="1"/>
  <c r="AH17" i="1"/>
  <c r="BA18" i="1"/>
  <c r="BB17" i="1" s="1"/>
  <c r="AK18" i="1"/>
  <c r="AL17" i="1" s="1"/>
  <c r="AR18" i="1"/>
  <c r="AS17" i="1" s="1"/>
  <c r="AF18" i="1"/>
  <c r="AG17" i="1" s="1"/>
  <c r="AY18" i="1"/>
  <c r="AZ17" i="1" s="1"/>
  <c r="AM18" i="1"/>
  <c r="AN17" i="1" s="1"/>
  <c r="AT18" i="1"/>
  <c r="AU17" i="1" s="1"/>
  <c r="AD18" i="1"/>
  <c r="AE17" i="1" s="1"/>
  <c r="AX17" i="1"/>
  <c r="P17" i="1"/>
  <c r="Q17" i="1"/>
  <c r="R17" i="1"/>
  <c r="O17" i="1"/>
  <c r="Z17" i="1"/>
  <c r="I20" i="1"/>
  <c r="H20" i="1"/>
  <c r="AC17" i="1"/>
  <c r="F22" i="1"/>
  <c r="G21" i="1"/>
  <c r="L19" i="1"/>
  <c r="AC18" i="1" s="1"/>
  <c r="K19" i="1"/>
  <c r="X18" i="1" s="1"/>
  <c r="J19" i="1"/>
  <c r="BE17" i="1"/>
  <c r="AB17" i="1"/>
  <c r="AE16" i="1"/>
  <c r="AB18" i="1" l="1"/>
  <c r="BE18" i="1"/>
  <c r="AQ18" i="1"/>
  <c r="AX18" i="1"/>
  <c r="AT19" i="1"/>
  <c r="AU18" i="1" s="1"/>
  <c r="AD19" i="1"/>
  <c r="AE18" i="1" s="1"/>
  <c r="BA19" i="1"/>
  <c r="BB18" i="1" s="1"/>
  <c r="AK19" i="1"/>
  <c r="AL18" i="1" s="1"/>
  <c r="AR19" i="1"/>
  <c r="AF19" i="1"/>
  <c r="AG18" i="1" s="1"/>
  <c r="AY19" i="1"/>
  <c r="AZ18" i="1" s="1"/>
  <c r="AM19" i="1"/>
  <c r="AN18" i="1" s="1"/>
  <c r="I21" i="1"/>
  <c r="H21" i="1"/>
  <c r="AP18" i="1"/>
  <c r="S18" i="1"/>
  <c r="Q18" i="1"/>
  <c r="R18" i="1"/>
  <c r="O18" i="1"/>
  <c r="P18" i="1"/>
  <c r="F23" i="1"/>
  <c r="G22" i="1"/>
  <c r="AA18" i="1"/>
  <c r="AV18" i="1"/>
  <c r="AO18" i="1"/>
  <c r="V18" i="1"/>
  <c r="W18" i="1"/>
  <c r="U18" i="1"/>
  <c r="AI18" i="1"/>
  <c r="BD18" i="1"/>
  <c r="AW18" i="1"/>
  <c r="Y18" i="1"/>
  <c r="AJ18" i="1"/>
  <c r="AH18" i="1"/>
  <c r="BC18" i="1"/>
  <c r="T18" i="1"/>
  <c r="J20" i="1"/>
  <c r="L20" i="1"/>
  <c r="AC19" i="1" s="1"/>
  <c r="K20" i="1"/>
  <c r="AW19" i="1" s="1"/>
  <c r="M18" i="1"/>
  <c r="N18" i="1"/>
  <c r="AS18" i="1"/>
  <c r="Z18" i="1"/>
  <c r="AT20" i="1" l="1"/>
  <c r="AD20" i="1"/>
  <c r="BA20" i="1"/>
  <c r="BB19" i="1" s="1"/>
  <c r="AK20" i="1"/>
  <c r="AL19" i="1" s="1"/>
  <c r="AM20" i="1"/>
  <c r="AN19" i="1" s="1"/>
  <c r="AR20" i="1"/>
  <c r="AY20" i="1"/>
  <c r="AZ19" i="1" s="1"/>
  <c r="AF20" i="1"/>
  <c r="AG19" i="1" s="1"/>
  <c r="AB19" i="1"/>
  <c r="Y19" i="1"/>
  <c r="AA19" i="1"/>
  <c r="AV19" i="1"/>
  <c r="AO19" i="1"/>
  <c r="AP19" i="1"/>
  <c r="J21" i="1"/>
  <c r="N20" i="1" s="1"/>
  <c r="K21" i="1"/>
  <c r="AW20" i="1" s="1"/>
  <c r="L21" i="1"/>
  <c r="BE20" i="1" s="1"/>
  <c r="AU19" i="1"/>
  <c r="AJ19" i="1"/>
  <c r="AX19" i="1"/>
  <c r="AI19" i="1"/>
  <c r="BD19" i="1"/>
  <c r="N19" i="1"/>
  <c r="AS19" i="1"/>
  <c r="M19" i="1"/>
  <c r="Z19" i="1"/>
  <c r="I22" i="1"/>
  <c r="H22" i="1"/>
  <c r="BC19" i="1"/>
  <c r="T19" i="1"/>
  <c r="U19" i="1"/>
  <c r="R19" i="1"/>
  <c r="O19" i="1"/>
  <c r="P19" i="1"/>
  <c r="Q19" i="1"/>
  <c r="AQ19" i="1"/>
  <c r="BE19" i="1"/>
  <c r="F24" i="1"/>
  <c r="G23" i="1"/>
  <c r="S19" i="1"/>
  <c r="X19" i="1"/>
  <c r="AH19" i="1"/>
  <c r="V19" i="1"/>
  <c r="W19" i="1"/>
  <c r="AE19" i="1"/>
  <c r="AP20" i="1" l="1"/>
  <c r="BD20" i="1"/>
  <c r="U20" i="1"/>
  <c r="S20" i="1"/>
  <c r="T20" i="1"/>
  <c r="BC20" i="1"/>
  <c r="X20" i="1"/>
  <c r="AA20" i="1"/>
  <c r="AO20" i="1"/>
  <c r="AV20" i="1"/>
  <c r="AI20" i="1"/>
  <c r="AH20" i="1"/>
  <c r="AQ20" i="1"/>
  <c r="AJ20" i="1"/>
  <c r="AC20" i="1"/>
  <c r="AX20" i="1"/>
  <c r="Y20" i="1"/>
  <c r="AB20" i="1"/>
  <c r="I23" i="1"/>
  <c r="H23" i="1"/>
  <c r="O20" i="1"/>
  <c r="Q20" i="1"/>
  <c r="Z20" i="1"/>
  <c r="F25" i="1"/>
  <c r="G24" i="1"/>
  <c r="W20" i="1"/>
  <c r="AT21" i="1"/>
  <c r="AU20" i="1" s="1"/>
  <c r="AD21" i="1"/>
  <c r="AE20" i="1" s="1"/>
  <c r="BA21" i="1"/>
  <c r="BB20" i="1" s="1"/>
  <c r="AK21" i="1"/>
  <c r="AL20" i="1" s="1"/>
  <c r="AY21" i="1"/>
  <c r="AM21" i="1"/>
  <c r="AN20" i="1" s="1"/>
  <c r="AR21" i="1"/>
  <c r="AS20" i="1" s="1"/>
  <c r="AF21" i="1"/>
  <c r="AG20" i="1" s="1"/>
  <c r="M20" i="1"/>
  <c r="P20" i="1"/>
  <c r="R20" i="1"/>
  <c r="J22" i="1"/>
  <c r="Z21" i="1" s="1"/>
  <c r="K22" i="1"/>
  <c r="AP21" i="1" s="1"/>
  <c r="L22" i="1"/>
  <c r="AC21" i="1" s="1"/>
  <c r="V20" i="1"/>
  <c r="O21" i="1" l="1"/>
  <c r="Q21" i="1"/>
  <c r="R21" i="1"/>
  <c r="S21" i="1"/>
  <c r="BC21" i="1"/>
  <c r="AH21" i="1"/>
  <c r="AB21" i="1"/>
  <c r="W21" i="1"/>
  <c r="V21" i="1"/>
  <c r="T21" i="1"/>
  <c r="AA21" i="1"/>
  <c r="U21" i="1"/>
  <c r="AJ21" i="1"/>
  <c r="BE21" i="1"/>
  <c r="P21" i="1"/>
  <c r="BD21" i="1"/>
  <c r="AI21" i="1"/>
  <c r="AO21" i="1"/>
  <c r="I24" i="1"/>
  <c r="H24" i="1"/>
  <c r="AQ21" i="1"/>
  <c r="AX21" i="1"/>
  <c r="AT22" i="1"/>
  <c r="AD22" i="1"/>
  <c r="AE21" i="1" s="1"/>
  <c r="BA22" i="1"/>
  <c r="BB21" i="1" s="1"/>
  <c r="AK22" i="1"/>
  <c r="AY22" i="1"/>
  <c r="AZ21" i="1" s="1"/>
  <c r="AM22" i="1"/>
  <c r="AR22" i="1"/>
  <c r="AS21" i="1" s="1"/>
  <c r="AF22" i="1"/>
  <c r="AG21" i="1" s="1"/>
  <c r="M21" i="1"/>
  <c r="N21" i="1"/>
  <c r="AZ20" i="1"/>
  <c r="X21" i="1"/>
  <c r="AV21" i="1"/>
  <c r="AW21" i="1"/>
  <c r="G25" i="1"/>
  <c r="F26" i="1"/>
  <c r="Y21" i="1"/>
  <c r="J23" i="1"/>
  <c r="N22" i="1" s="1"/>
  <c r="K23" i="1"/>
  <c r="L23" i="1"/>
  <c r="F27" i="1" l="1"/>
  <c r="G26" i="1"/>
  <c r="H25" i="1"/>
  <c r="I25" i="1"/>
  <c r="O22" i="1"/>
  <c r="M22" i="1"/>
  <c r="AV22" i="1"/>
  <c r="S22" i="1"/>
  <c r="U22" i="1"/>
  <c r="AP22" i="1"/>
  <c r="AQ22" i="1"/>
  <c r="AX22" i="1"/>
  <c r="AT23" i="1"/>
  <c r="AU22" i="1" s="1"/>
  <c r="AD23" i="1"/>
  <c r="BA23" i="1"/>
  <c r="BB22" i="1" s="1"/>
  <c r="AK23" i="1"/>
  <c r="AL22" i="1" s="1"/>
  <c r="AY23" i="1"/>
  <c r="AZ22" i="1" s="1"/>
  <c r="AM23" i="1"/>
  <c r="AN22" i="1" s="1"/>
  <c r="AF23" i="1"/>
  <c r="AG22" i="1" s="1"/>
  <c r="AR23" i="1"/>
  <c r="AS22" i="1" s="1"/>
  <c r="P22" i="1"/>
  <c r="W22" i="1"/>
  <c r="Q22" i="1"/>
  <c r="R22" i="1"/>
  <c r="L24" i="1"/>
  <c r="J24" i="1"/>
  <c r="R23" i="1" s="1"/>
  <c r="K24" i="1"/>
  <c r="AH23" i="1" s="1"/>
  <c r="T22" i="1"/>
  <c r="AA22" i="1"/>
  <c r="AO22" i="1"/>
  <c r="Y22" i="1"/>
  <c r="V22" i="1"/>
  <c r="X22" i="1"/>
  <c r="AI22" i="1"/>
  <c r="AW22" i="1"/>
  <c r="AL21" i="1"/>
  <c r="AJ22" i="1"/>
  <c r="AC22" i="1"/>
  <c r="Z22" i="1"/>
  <c r="BD22" i="1"/>
  <c r="BC22" i="1"/>
  <c r="AH22" i="1"/>
  <c r="AN21" i="1"/>
  <c r="AB22" i="1"/>
  <c r="BE22" i="1"/>
  <c r="AU21" i="1"/>
  <c r="Z23" i="1" l="1"/>
  <c r="L25" i="1"/>
  <c r="K25" i="1"/>
  <c r="U24" i="1" s="1"/>
  <c r="J25" i="1"/>
  <c r="Q24" i="1" s="1"/>
  <c r="X23" i="1"/>
  <c r="AI23" i="1"/>
  <c r="AW23" i="1"/>
  <c r="F28" i="1"/>
  <c r="G27" i="1"/>
  <c r="Y23" i="1"/>
  <c r="O23" i="1"/>
  <c r="M23" i="1"/>
  <c r="N23" i="1"/>
  <c r="AE22" i="1"/>
  <c r="BD23" i="1"/>
  <c r="BC23" i="1"/>
  <c r="AB23" i="1"/>
  <c r="AC23" i="1"/>
  <c r="AW24" i="1"/>
  <c r="AO24" i="1"/>
  <c r="W23" i="1"/>
  <c r="Q23" i="1"/>
  <c r="AV23" i="1"/>
  <c r="S23" i="1"/>
  <c r="U23" i="1"/>
  <c r="AP23" i="1"/>
  <c r="AJ23" i="1"/>
  <c r="BE23" i="1"/>
  <c r="BA24" i="1"/>
  <c r="AK24" i="1"/>
  <c r="AL23" i="1" s="1"/>
  <c r="AR24" i="1"/>
  <c r="AF24" i="1"/>
  <c r="AG23" i="1" s="1"/>
  <c r="AT24" i="1"/>
  <c r="AU23" i="1" s="1"/>
  <c r="AD24" i="1"/>
  <c r="AE23" i="1" s="1"/>
  <c r="AY24" i="1"/>
  <c r="AM24" i="1"/>
  <c r="P23" i="1"/>
  <c r="V23" i="1"/>
  <c r="T23" i="1"/>
  <c r="AA23" i="1"/>
  <c r="AO23" i="1"/>
  <c r="H26" i="1"/>
  <c r="I26" i="1"/>
  <c r="AQ23" i="1"/>
  <c r="AX23" i="1"/>
  <c r="BC24" i="1" l="1"/>
  <c r="T24" i="1"/>
  <c r="N24" i="1"/>
  <c r="V24" i="1"/>
  <c r="P24" i="1"/>
  <c r="X24" i="1"/>
  <c r="S24" i="1"/>
  <c r="AV24" i="1"/>
  <c r="R24" i="1"/>
  <c r="Z24" i="1"/>
  <c r="W24" i="1"/>
  <c r="M24" i="1"/>
  <c r="O24" i="1"/>
  <c r="AH24" i="1"/>
  <c r="AA24" i="1"/>
  <c r="BD24" i="1"/>
  <c r="AP24" i="1"/>
  <c r="AI24" i="1"/>
  <c r="AJ24" i="1"/>
  <c r="L26" i="1"/>
  <c r="AB25" i="1" s="1"/>
  <c r="K26" i="1"/>
  <c r="BD25" i="1" s="1"/>
  <c r="J26" i="1"/>
  <c r="P25" i="1" s="1"/>
  <c r="G28" i="1"/>
  <c r="F29" i="1"/>
  <c r="AR25" i="1"/>
  <c r="AS24" i="1" s="1"/>
  <c r="AF25" i="1"/>
  <c r="AG24" i="1" s="1"/>
  <c r="AY25" i="1"/>
  <c r="AM25" i="1"/>
  <c r="AT25" i="1"/>
  <c r="AU24" i="1" s="1"/>
  <c r="AD25" i="1"/>
  <c r="AE24" i="1" s="1"/>
  <c r="BA25" i="1"/>
  <c r="AK25" i="1"/>
  <c r="AL24" i="1" s="1"/>
  <c r="BB23" i="1"/>
  <c r="AQ24" i="1"/>
  <c r="AC24" i="1"/>
  <c r="AZ23" i="1"/>
  <c r="AB24" i="1"/>
  <c r="BE24" i="1"/>
  <c r="AN23" i="1"/>
  <c r="AS23" i="1"/>
  <c r="I27" i="1"/>
  <c r="H27" i="1"/>
  <c r="AX24" i="1"/>
  <c r="Y24" i="1"/>
  <c r="AH25" i="1" l="1"/>
  <c r="T25" i="1"/>
  <c r="AP25" i="1"/>
  <c r="X25" i="1"/>
  <c r="S25" i="1"/>
  <c r="AA25" i="1"/>
  <c r="M25" i="1"/>
  <c r="Q25" i="1"/>
  <c r="AO25" i="1"/>
  <c r="AI25" i="1"/>
  <c r="AV25" i="1"/>
  <c r="U25" i="1"/>
  <c r="AW25" i="1"/>
  <c r="BC25" i="1"/>
  <c r="R25" i="1"/>
  <c r="N25" i="1"/>
  <c r="W25" i="1"/>
  <c r="Z25" i="1"/>
  <c r="V25" i="1"/>
  <c r="O25" i="1"/>
  <c r="AC25" i="1"/>
  <c r="F30" i="1"/>
  <c r="G29" i="1"/>
  <c r="Y25" i="1"/>
  <c r="AJ25" i="1"/>
  <c r="I28" i="1"/>
  <c r="H28" i="1"/>
  <c r="AZ24" i="1"/>
  <c r="BE25" i="1"/>
  <c r="AN24" i="1"/>
  <c r="K27" i="1"/>
  <c r="X26" i="1" s="1"/>
  <c r="J27" i="1"/>
  <c r="Q26" i="1" s="1"/>
  <c r="L27" i="1"/>
  <c r="AB26" i="1" s="1"/>
  <c r="AR26" i="1"/>
  <c r="AS25" i="1" s="1"/>
  <c r="AF26" i="1"/>
  <c r="AG25" i="1" s="1"/>
  <c r="AY26" i="1"/>
  <c r="AM26" i="1"/>
  <c r="AN25" i="1" s="1"/>
  <c r="AT26" i="1"/>
  <c r="AD26" i="1"/>
  <c r="AE25" i="1" s="1"/>
  <c r="BA26" i="1"/>
  <c r="AK26" i="1"/>
  <c r="AX25" i="1"/>
  <c r="AQ25" i="1"/>
  <c r="BB24" i="1"/>
  <c r="P26" i="1" l="1"/>
  <c r="R26" i="1"/>
  <c r="V26" i="1"/>
  <c r="O26" i="1"/>
  <c r="M26" i="1"/>
  <c r="Z26" i="1"/>
  <c r="AH26" i="1"/>
  <c r="W26" i="1"/>
  <c r="AI26" i="1"/>
  <c r="AV26" i="1"/>
  <c r="J28" i="1"/>
  <c r="O27" i="1" s="1"/>
  <c r="L28" i="1"/>
  <c r="AX27" i="1" s="1"/>
  <c r="K28" i="1"/>
  <c r="S27" i="1" s="1"/>
  <c r="Y26" i="1"/>
  <c r="AQ26" i="1"/>
  <c r="F31" i="1"/>
  <c r="G30" i="1"/>
  <c r="AW26" i="1"/>
  <c r="S26" i="1"/>
  <c r="T26" i="1"/>
  <c r="BE26" i="1"/>
  <c r="AZ25" i="1"/>
  <c r="U26" i="1"/>
  <c r="AA26" i="1"/>
  <c r="AC26" i="1"/>
  <c r="AU25" i="1"/>
  <c r="AY27" i="1"/>
  <c r="AM27" i="1"/>
  <c r="AN26" i="1" s="1"/>
  <c r="AT27" i="1"/>
  <c r="AD27" i="1"/>
  <c r="BA27" i="1"/>
  <c r="BB26" i="1" s="1"/>
  <c r="AK27" i="1"/>
  <c r="AL26" i="1" s="1"/>
  <c r="AR27" i="1"/>
  <c r="AS26" i="1" s="1"/>
  <c r="AF27" i="1"/>
  <c r="AG26" i="1" s="1"/>
  <c r="AJ26" i="1"/>
  <c r="N26" i="1"/>
  <c r="AL25" i="1"/>
  <c r="AX26" i="1"/>
  <c r="I29" i="1"/>
  <c r="H29" i="1"/>
  <c r="AO26" i="1"/>
  <c r="AP26" i="1"/>
  <c r="BC26" i="1"/>
  <c r="BD26" i="1"/>
  <c r="BB25" i="1"/>
  <c r="Z27" i="1" l="1"/>
  <c r="M27" i="1"/>
  <c r="N27" i="1"/>
  <c r="W27" i="1"/>
  <c r="Y27" i="1"/>
  <c r="P27" i="1"/>
  <c r="Q27" i="1"/>
  <c r="R27" i="1"/>
  <c r="AC27" i="1"/>
  <c r="V27" i="1"/>
  <c r="AQ27" i="1"/>
  <c r="AJ27" i="1"/>
  <c r="BE27" i="1"/>
  <c r="AB27" i="1"/>
  <c r="AH27" i="1"/>
  <c r="AW27" i="1"/>
  <c r="AA27" i="1"/>
  <c r="X27" i="1"/>
  <c r="BD27" i="1"/>
  <c r="AI27" i="1"/>
  <c r="U27" i="1"/>
  <c r="AP27" i="1"/>
  <c r="BC27" i="1"/>
  <c r="AV27" i="1"/>
  <c r="T27" i="1"/>
  <c r="AO27" i="1"/>
  <c r="L29" i="1"/>
  <c r="AX28" i="1" s="1"/>
  <c r="K29" i="1"/>
  <c r="AO28" i="1" s="1"/>
  <c r="J29" i="1"/>
  <c r="V28" i="1" s="1"/>
  <c r="G31" i="1"/>
  <c r="F32" i="1"/>
  <c r="AE26" i="1"/>
  <c r="AZ26" i="1"/>
  <c r="H30" i="1"/>
  <c r="I30" i="1"/>
  <c r="AU26" i="1"/>
  <c r="AT28" i="1"/>
  <c r="AD28" i="1"/>
  <c r="BA28" i="1"/>
  <c r="AK28" i="1"/>
  <c r="AL27" i="1" s="1"/>
  <c r="AR28" i="1"/>
  <c r="AS27" i="1" s="1"/>
  <c r="AF28" i="1"/>
  <c r="AG27" i="1" s="1"/>
  <c r="AM28" i="1"/>
  <c r="AN27" i="1" s="1"/>
  <c r="AY28" i="1"/>
  <c r="AZ27" i="1" s="1"/>
  <c r="Q28" i="1" l="1"/>
  <c r="W28" i="1"/>
  <c r="Z28" i="1"/>
  <c r="Y28" i="1"/>
  <c r="BE28" i="1"/>
  <c r="AI28" i="1"/>
  <c r="AW28" i="1"/>
  <c r="O28" i="1"/>
  <c r="P28" i="1"/>
  <c r="AV28" i="1"/>
  <c r="BD28" i="1"/>
  <c r="AA28" i="1"/>
  <c r="T28" i="1"/>
  <c r="U28" i="1"/>
  <c r="AP28" i="1"/>
  <c r="BC28" i="1"/>
  <c r="AH28" i="1"/>
  <c r="AB28" i="1"/>
  <c r="S28" i="1"/>
  <c r="X28" i="1"/>
  <c r="M28" i="1"/>
  <c r="R28" i="1"/>
  <c r="N28" i="1"/>
  <c r="AQ28" i="1"/>
  <c r="AC28" i="1"/>
  <c r="AJ28" i="1"/>
  <c r="L30" i="1"/>
  <c r="AC29" i="1" s="1"/>
  <c r="K30" i="1"/>
  <c r="AW29" i="1" s="1"/>
  <c r="J30" i="1"/>
  <c r="P29" i="1" s="1"/>
  <c r="G32" i="1"/>
  <c r="F33" i="1"/>
  <c r="I31" i="1"/>
  <c r="H31" i="1"/>
  <c r="AE27" i="1"/>
  <c r="BA29" i="1"/>
  <c r="BB28" i="1" s="1"/>
  <c r="AK29" i="1"/>
  <c r="AL28" i="1" s="1"/>
  <c r="AR29" i="1"/>
  <c r="AS28" i="1" s="1"/>
  <c r="AF29" i="1"/>
  <c r="AG28" i="1" s="1"/>
  <c r="AY29" i="1"/>
  <c r="AZ28" i="1" s="1"/>
  <c r="AM29" i="1"/>
  <c r="AN28" i="1" s="1"/>
  <c r="AT29" i="1"/>
  <c r="AD29" i="1"/>
  <c r="AU27" i="1"/>
  <c r="BB27" i="1"/>
  <c r="AB29" i="1" l="1"/>
  <c r="BD29" i="1"/>
  <c r="AH29" i="1"/>
  <c r="BC29" i="1"/>
  <c r="M29" i="1"/>
  <c r="Z29" i="1"/>
  <c r="R29" i="1"/>
  <c r="Y29" i="1"/>
  <c r="AJ29" i="1"/>
  <c r="AX29" i="1"/>
  <c r="BE29" i="1"/>
  <c r="U29" i="1"/>
  <c r="AA29" i="1"/>
  <c r="X29" i="1"/>
  <c r="AO29" i="1"/>
  <c r="S29" i="1"/>
  <c r="T29" i="1"/>
  <c r="AP29" i="1"/>
  <c r="AI29" i="1"/>
  <c r="AV29" i="1"/>
  <c r="W29" i="1"/>
  <c r="AQ29" i="1"/>
  <c r="V29" i="1"/>
  <c r="N29" i="1"/>
  <c r="O29" i="1"/>
  <c r="AU28" i="1"/>
  <c r="AR30" i="1"/>
  <c r="AS29" i="1" s="1"/>
  <c r="AF30" i="1"/>
  <c r="AG29" i="1" s="1"/>
  <c r="AY30" i="1"/>
  <c r="AZ29" i="1" s="1"/>
  <c r="AM30" i="1"/>
  <c r="AT30" i="1"/>
  <c r="AD30" i="1"/>
  <c r="AE29" i="1" s="1"/>
  <c r="BA30" i="1"/>
  <c r="AK30" i="1"/>
  <c r="AL29" i="1" s="1"/>
  <c r="Q29" i="1"/>
  <c r="G33" i="1"/>
  <c r="F34" i="1"/>
  <c r="K31" i="1"/>
  <c r="X30" i="1" s="1"/>
  <c r="J31" i="1"/>
  <c r="W30" i="1" s="1"/>
  <c r="L31" i="1"/>
  <c r="AX30" i="1" s="1"/>
  <c r="I32" i="1"/>
  <c r="H32" i="1"/>
  <c r="AE28" i="1"/>
  <c r="U30" i="1" l="1"/>
  <c r="S30" i="1"/>
  <c r="K32" i="1"/>
  <c r="S31" i="1" s="1"/>
  <c r="J32" i="1"/>
  <c r="N31" i="1" s="1"/>
  <c r="L32" i="1"/>
  <c r="AX31" i="1" s="1"/>
  <c r="AC30" i="1"/>
  <c r="AJ30" i="1"/>
  <c r="AW30" i="1"/>
  <c r="AP30" i="1"/>
  <c r="BC30" i="1"/>
  <c r="BD30" i="1"/>
  <c r="R30" i="1"/>
  <c r="AU29" i="1"/>
  <c r="T30" i="1"/>
  <c r="V30" i="1"/>
  <c r="O30" i="1"/>
  <c r="P30" i="1"/>
  <c r="BB29" i="1"/>
  <c r="Y31" i="1"/>
  <c r="Y30" i="1"/>
  <c r="AQ30" i="1"/>
  <c r="I33" i="1"/>
  <c r="H33" i="1"/>
  <c r="AO30" i="1"/>
  <c r="AA30" i="1"/>
  <c r="M30" i="1"/>
  <c r="Z30" i="1"/>
  <c r="F35" i="1"/>
  <c r="G34" i="1"/>
  <c r="AY31" i="1"/>
  <c r="AM31" i="1"/>
  <c r="AN30" i="1" s="1"/>
  <c r="AT31" i="1"/>
  <c r="AD31" i="1"/>
  <c r="AE30" i="1" s="1"/>
  <c r="BA31" i="1"/>
  <c r="BB30" i="1" s="1"/>
  <c r="AK31" i="1"/>
  <c r="AF31" i="1"/>
  <c r="AR31" i="1"/>
  <c r="AA31" i="1"/>
  <c r="BE30" i="1"/>
  <c r="AB30" i="1"/>
  <c r="AH30" i="1"/>
  <c r="AI30" i="1"/>
  <c r="AV30" i="1"/>
  <c r="Q30" i="1"/>
  <c r="N30" i="1"/>
  <c r="AN29" i="1"/>
  <c r="AI31" i="1" l="1"/>
  <c r="AQ31" i="1"/>
  <c r="X31" i="1"/>
  <c r="BD31" i="1"/>
  <c r="AW31" i="1"/>
  <c r="T31" i="1"/>
  <c r="AH31" i="1"/>
  <c r="R31" i="1"/>
  <c r="AC31" i="1"/>
  <c r="AB31" i="1"/>
  <c r="BE31" i="1"/>
  <c r="AJ31" i="1"/>
  <c r="Q31" i="1"/>
  <c r="AV31" i="1"/>
  <c r="U31" i="1"/>
  <c r="AP31" i="1"/>
  <c r="BC31" i="1"/>
  <c r="AO31" i="1"/>
  <c r="P31" i="1"/>
  <c r="V31" i="1"/>
  <c r="O31" i="1"/>
  <c r="Z31" i="1"/>
  <c r="W31" i="1"/>
  <c r="M31" i="1"/>
  <c r="AS30" i="1"/>
  <c r="I34" i="1"/>
  <c r="H34" i="1"/>
  <c r="AU30" i="1"/>
  <c r="F36" i="1"/>
  <c r="G35" i="1"/>
  <c r="AG30" i="1"/>
  <c r="AL30" i="1"/>
  <c r="AY32" i="1"/>
  <c r="AZ31" i="1" s="1"/>
  <c r="AM32" i="1"/>
  <c r="AN31" i="1" s="1"/>
  <c r="AT32" i="1"/>
  <c r="AU31" i="1" s="1"/>
  <c r="AD32" i="1"/>
  <c r="BA32" i="1"/>
  <c r="BB31" i="1" s="1"/>
  <c r="AK32" i="1"/>
  <c r="AL31" i="1" s="1"/>
  <c r="AF32" i="1"/>
  <c r="AR32" i="1"/>
  <c r="K33" i="1"/>
  <c r="AI32" i="1" s="1"/>
  <c r="J33" i="1"/>
  <c r="V32" i="1" s="1"/>
  <c r="L33" i="1"/>
  <c r="BE32" i="1" s="1"/>
  <c r="AZ30" i="1"/>
  <c r="AP32" i="1" l="1"/>
  <c r="BC32" i="1"/>
  <c r="BD32" i="1"/>
  <c r="AV32" i="1"/>
  <c r="AW32" i="1"/>
  <c r="U32" i="1"/>
  <c r="S32" i="1"/>
  <c r="X32" i="1"/>
  <c r="AO32" i="1"/>
  <c r="AA32" i="1"/>
  <c r="P32" i="1"/>
  <c r="T32" i="1"/>
  <c r="AH32" i="1"/>
  <c r="O32" i="1"/>
  <c r="L34" i="1"/>
  <c r="AX33" i="1" s="1"/>
  <c r="K34" i="1"/>
  <c r="BC33" i="1" s="1"/>
  <c r="J34" i="1"/>
  <c r="O33" i="1" s="1"/>
  <c r="AY33" i="1"/>
  <c r="AZ32" i="1" s="1"/>
  <c r="AM33" i="1"/>
  <c r="AN32" i="1" s="1"/>
  <c r="AT33" i="1"/>
  <c r="AU32" i="1" s="1"/>
  <c r="AD33" i="1"/>
  <c r="AE32" i="1" s="1"/>
  <c r="BA33" i="1"/>
  <c r="BB32" i="1" s="1"/>
  <c r="AK33" i="1"/>
  <c r="AL32" i="1" s="1"/>
  <c r="AF33" i="1"/>
  <c r="AG32" i="1" s="1"/>
  <c r="AR33" i="1"/>
  <c r="AS32" i="1" s="1"/>
  <c r="Z32" i="1"/>
  <c r="W32" i="1"/>
  <c r="AC32" i="1"/>
  <c r="AG31" i="1"/>
  <c r="Y32" i="1"/>
  <c r="M32" i="1"/>
  <c r="N32" i="1"/>
  <c r="AE31" i="1"/>
  <c r="AB32" i="1"/>
  <c r="I35" i="1"/>
  <c r="H35" i="1"/>
  <c r="AQ32" i="1"/>
  <c r="Q32" i="1"/>
  <c r="R32" i="1"/>
  <c r="AJ32" i="1"/>
  <c r="AX32" i="1"/>
  <c r="G36" i="1"/>
  <c r="F37" i="1"/>
  <c r="AS31" i="1"/>
  <c r="AB33" i="1" l="1"/>
  <c r="AQ33" i="1"/>
  <c r="Y33" i="1"/>
  <c r="BE33" i="1"/>
  <c r="P33" i="1"/>
  <c r="AC33" i="1"/>
  <c r="AJ33" i="1"/>
  <c r="T33" i="1"/>
  <c r="AO33" i="1"/>
  <c r="S33" i="1"/>
  <c r="BD33" i="1"/>
  <c r="X33" i="1"/>
  <c r="AW33" i="1"/>
  <c r="AA33" i="1"/>
  <c r="AH33" i="1"/>
  <c r="AI33" i="1"/>
  <c r="AV33" i="1"/>
  <c r="U33" i="1"/>
  <c r="AP33" i="1"/>
  <c r="V33" i="1"/>
  <c r="AT34" i="1"/>
  <c r="AU33" i="1" s="1"/>
  <c r="AD34" i="1"/>
  <c r="AE33" i="1" s="1"/>
  <c r="BA34" i="1"/>
  <c r="BB33" i="1" s="1"/>
  <c r="AK34" i="1"/>
  <c r="AL33" i="1" s="1"/>
  <c r="AR34" i="1"/>
  <c r="AS33" i="1" s="1"/>
  <c r="AF34" i="1"/>
  <c r="AM34" i="1"/>
  <c r="AN33" i="1" s="1"/>
  <c r="AY34" i="1"/>
  <c r="AZ33" i="1" s="1"/>
  <c r="Z33" i="1"/>
  <c r="W33" i="1"/>
  <c r="M33" i="1"/>
  <c r="N33" i="1"/>
  <c r="G37" i="1"/>
  <c r="F38" i="1"/>
  <c r="H36" i="1"/>
  <c r="I36" i="1"/>
  <c r="L35" i="1"/>
  <c r="AC34" i="1" s="1"/>
  <c r="K35" i="1"/>
  <c r="AP34" i="1" s="1"/>
  <c r="J35" i="1"/>
  <c r="P34" i="1" s="1"/>
  <c r="Q33" i="1"/>
  <c r="R33" i="1"/>
  <c r="AX34" i="1" l="1"/>
  <c r="AW34" i="1"/>
  <c r="O34" i="1"/>
  <c r="V34" i="1"/>
  <c r="AJ34" i="1"/>
  <c r="AI34" i="1"/>
  <c r="Q34" i="1"/>
  <c r="Y34" i="1"/>
  <c r="AV34" i="1"/>
  <c r="BA35" i="1"/>
  <c r="BB34" i="1" s="1"/>
  <c r="AK35" i="1"/>
  <c r="AL34" i="1" s="1"/>
  <c r="AR35" i="1"/>
  <c r="AS34" i="1" s="1"/>
  <c r="AF35" i="1"/>
  <c r="AY35" i="1"/>
  <c r="AM35" i="1"/>
  <c r="AN34" i="1" s="1"/>
  <c r="AT35" i="1"/>
  <c r="AU34" i="1" s="1"/>
  <c r="AD35" i="1"/>
  <c r="AE34" i="1" s="1"/>
  <c r="BC34" i="1"/>
  <c r="BD34" i="1"/>
  <c r="AH34" i="1"/>
  <c r="AG34" i="1"/>
  <c r="Z34" i="1"/>
  <c r="AQ34" i="1"/>
  <c r="AA34" i="1"/>
  <c r="T34" i="1"/>
  <c r="U34" i="1"/>
  <c r="AG33" i="1"/>
  <c r="W34" i="1"/>
  <c r="H37" i="1"/>
  <c r="I37" i="1"/>
  <c r="L36" i="1"/>
  <c r="Y35" i="1" s="1"/>
  <c r="K36" i="1"/>
  <c r="AO35" i="1" s="1"/>
  <c r="J36" i="1"/>
  <c r="Q35" i="1" s="1"/>
  <c r="F39" i="1"/>
  <c r="G38" i="1"/>
  <c r="AB34" i="1"/>
  <c r="BE34" i="1"/>
  <c r="S34" i="1"/>
  <c r="X34" i="1"/>
  <c r="AO34" i="1"/>
  <c r="N34" i="1"/>
  <c r="M34" i="1"/>
  <c r="R34" i="1"/>
  <c r="T35" i="1" l="1"/>
  <c r="AX35" i="1"/>
  <c r="U35" i="1"/>
  <c r="AC35" i="1"/>
  <c r="BE35" i="1"/>
  <c r="AQ35" i="1"/>
  <c r="AB35" i="1"/>
  <c r="S35" i="1"/>
  <c r="V35" i="1"/>
  <c r="AA35" i="1"/>
  <c r="X35" i="1"/>
  <c r="Z35" i="1"/>
  <c r="O35" i="1"/>
  <c r="P35" i="1"/>
  <c r="AR36" i="1"/>
  <c r="AS35" i="1" s="1"/>
  <c r="AF36" i="1"/>
  <c r="AG35" i="1" s="1"/>
  <c r="AY36" i="1"/>
  <c r="AM36" i="1"/>
  <c r="AT36" i="1"/>
  <c r="AD36" i="1"/>
  <c r="BA36" i="1"/>
  <c r="BB35" i="1" s="1"/>
  <c r="AK36" i="1"/>
  <c r="AL35" i="1" s="1"/>
  <c r="M35" i="1"/>
  <c r="H38" i="1"/>
  <c r="I38" i="1"/>
  <c r="AJ35" i="1"/>
  <c r="AH35" i="1"/>
  <c r="AI35" i="1"/>
  <c r="AV35" i="1"/>
  <c r="AW35" i="1"/>
  <c r="N35" i="1"/>
  <c r="W35" i="1"/>
  <c r="F40" i="1"/>
  <c r="G39" i="1"/>
  <c r="AP35" i="1"/>
  <c r="BC35" i="1"/>
  <c r="BD35" i="1"/>
  <c r="L37" i="1"/>
  <c r="AJ36" i="1" s="1"/>
  <c r="K37" i="1"/>
  <c r="BD36" i="1" s="1"/>
  <c r="J37" i="1"/>
  <c r="M36" i="1" s="1"/>
  <c r="AZ34" i="1"/>
  <c r="R35" i="1"/>
  <c r="Y36" i="1" l="1"/>
  <c r="AI36" i="1"/>
  <c r="AQ36" i="1"/>
  <c r="AW36" i="1"/>
  <c r="AV36" i="1"/>
  <c r="AB36" i="1"/>
  <c r="AH36" i="1"/>
  <c r="N36" i="1"/>
  <c r="AC36" i="1"/>
  <c r="AP36" i="1"/>
  <c r="F41" i="1"/>
  <c r="G40" i="1"/>
  <c r="AR37" i="1"/>
  <c r="AS36" i="1" s="1"/>
  <c r="AF37" i="1"/>
  <c r="AY37" i="1"/>
  <c r="AM37" i="1"/>
  <c r="AT37" i="1"/>
  <c r="AD37" i="1"/>
  <c r="AE36" i="1" s="1"/>
  <c r="BA37" i="1"/>
  <c r="BB36" i="1" s="1"/>
  <c r="AK37" i="1"/>
  <c r="AL36" i="1" s="1"/>
  <c r="BC36" i="1"/>
  <c r="Q36" i="1"/>
  <c r="R36" i="1"/>
  <c r="AU36" i="1"/>
  <c r="AN35" i="1"/>
  <c r="AE35" i="1"/>
  <c r="BE36" i="1"/>
  <c r="U36" i="1"/>
  <c r="S36" i="1"/>
  <c r="T36" i="1"/>
  <c r="V36" i="1"/>
  <c r="O36" i="1"/>
  <c r="P36" i="1"/>
  <c r="AZ35" i="1"/>
  <c r="I39" i="1"/>
  <c r="H39" i="1"/>
  <c r="AX36" i="1"/>
  <c r="L38" i="1"/>
  <c r="AJ37" i="1" s="1"/>
  <c r="K38" i="1"/>
  <c r="T37" i="1" s="1"/>
  <c r="J38" i="1"/>
  <c r="R37" i="1" s="1"/>
  <c r="AO36" i="1"/>
  <c r="AA36" i="1"/>
  <c r="X36" i="1"/>
  <c r="AU35" i="1"/>
  <c r="Z36" i="1"/>
  <c r="W36" i="1"/>
  <c r="AG36" i="1"/>
  <c r="AI37" i="1" l="1"/>
  <c r="AV37" i="1"/>
  <c r="N37" i="1"/>
  <c r="M37" i="1"/>
  <c r="AH37" i="1"/>
  <c r="AO37" i="1"/>
  <c r="AP37" i="1"/>
  <c r="BC37" i="1"/>
  <c r="BD37" i="1"/>
  <c r="Q37" i="1"/>
  <c r="Y37" i="1"/>
  <c r="AR38" i="1"/>
  <c r="AS37" i="1" s="1"/>
  <c r="AF38" i="1"/>
  <c r="AG37" i="1" s="1"/>
  <c r="AY38" i="1"/>
  <c r="AZ37" i="1" s="1"/>
  <c r="AM38" i="1"/>
  <c r="AN37" i="1" s="1"/>
  <c r="AT38" i="1"/>
  <c r="AD38" i="1"/>
  <c r="AE37" i="1" s="1"/>
  <c r="BA38" i="1"/>
  <c r="BB37" i="1" s="1"/>
  <c r="AK38" i="1"/>
  <c r="AL37" i="1" s="1"/>
  <c r="AC37" i="1"/>
  <c r="AW37" i="1"/>
  <c r="S37" i="1"/>
  <c r="AN36" i="1"/>
  <c r="V37" i="1"/>
  <c r="O37" i="1"/>
  <c r="P37" i="1"/>
  <c r="I40" i="1"/>
  <c r="H40" i="1"/>
  <c r="BE37" i="1"/>
  <c r="AQ37" i="1"/>
  <c r="AB37" i="1"/>
  <c r="K39" i="1"/>
  <c r="AA38" i="1" s="1"/>
  <c r="J39" i="1"/>
  <c r="L39" i="1"/>
  <c r="AB38" i="1" s="1"/>
  <c r="AX37" i="1"/>
  <c r="U37" i="1"/>
  <c r="AA37" i="1"/>
  <c r="X37" i="1"/>
  <c r="AZ36" i="1"/>
  <c r="Z37" i="1"/>
  <c r="W37" i="1"/>
  <c r="F42" i="1"/>
  <c r="G41" i="1"/>
  <c r="AO38" i="1" l="1"/>
  <c r="S38" i="1"/>
  <c r="T38" i="1"/>
  <c r="AW38" i="1"/>
  <c r="X38" i="1"/>
  <c r="AY39" i="1"/>
  <c r="AZ38" i="1" s="1"/>
  <c r="AM39" i="1"/>
  <c r="AN38" i="1" s="1"/>
  <c r="AT39" i="1"/>
  <c r="AU38" i="1" s="1"/>
  <c r="AD39" i="1"/>
  <c r="BA39" i="1"/>
  <c r="BB38" i="1" s="1"/>
  <c r="AK39" i="1"/>
  <c r="AL38" i="1" s="1"/>
  <c r="AR39" i="1"/>
  <c r="AS38" i="1" s="1"/>
  <c r="AF39" i="1"/>
  <c r="J40" i="1"/>
  <c r="W39" i="1" s="1"/>
  <c r="L40" i="1"/>
  <c r="AX39" i="1" s="1"/>
  <c r="K40" i="1"/>
  <c r="AA39" i="1" s="1"/>
  <c r="V38" i="1"/>
  <c r="O38" i="1"/>
  <c r="P38" i="1"/>
  <c r="AH38" i="1"/>
  <c r="AI38" i="1"/>
  <c r="AV38" i="1"/>
  <c r="BE38" i="1"/>
  <c r="Q38" i="1"/>
  <c r="Z38" i="1"/>
  <c r="W38" i="1"/>
  <c r="F43" i="1"/>
  <c r="G42" i="1"/>
  <c r="Y38" i="1"/>
  <c r="AQ38" i="1"/>
  <c r="M38" i="1"/>
  <c r="I41" i="1"/>
  <c r="H41" i="1"/>
  <c r="U38" i="1"/>
  <c r="AP38" i="1"/>
  <c r="BC38" i="1"/>
  <c r="BD38" i="1"/>
  <c r="AC38" i="1"/>
  <c r="AJ38" i="1"/>
  <c r="N38" i="1"/>
  <c r="AE38" i="1"/>
  <c r="AX38" i="1"/>
  <c r="R38" i="1"/>
  <c r="AU37" i="1"/>
  <c r="AC39" i="1" l="1"/>
  <c r="AQ39" i="1"/>
  <c r="Y39" i="1"/>
  <c r="X39" i="1"/>
  <c r="AJ39" i="1"/>
  <c r="BE39" i="1"/>
  <c r="AB39" i="1"/>
  <c r="AW39" i="1"/>
  <c r="V39" i="1"/>
  <c r="O39" i="1"/>
  <c r="L41" i="1"/>
  <c r="BE40" i="1" s="1"/>
  <c r="K41" i="1"/>
  <c r="AP40" i="1" s="1"/>
  <c r="J41" i="1"/>
  <c r="V40" i="1" s="1"/>
  <c r="BD39" i="1"/>
  <c r="AH39" i="1"/>
  <c r="AI39" i="1"/>
  <c r="Z39" i="1"/>
  <c r="F44" i="1"/>
  <c r="G43" i="1"/>
  <c r="AG38" i="1"/>
  <c r="AV39" i="1"/>
  <c r="U39" i="1"/>
  <c r="AP39" i="1"/>
  <c r="BC39" i="1"/>
  <c r="AT40" i="1"/>
  <c r="AU39" i="1" s="1"/>
  <c r="AD40" i="1"/>
  <c r="BA40" i="1"/>
  <c r="BB39" i="1" s="1"/>
  <c r="AK40" i="1"/>
  <c r="AL39" i="1" s="1"/>
  <c r="AR40" i="1"/>
  <c r="AS39" i="1" s="1"/>
  <c r="AF40" i="1"/>
  <c r="AY40" i="1"/>
  <c r="AZ39" i="1" s="1"/>
  <c r="AM40" i="1"/>
  <c r="AN39" i="1" s="1"/>
  <c r="M39" i="1"/>
  <c r="N39" i="1"/>
  <c r="H42" i="1"/>
  <c r="I42" i="1"/>
  <c r="T39" i="1"/>
  <c r="AO39" i="1"/>
  <c r="S39" i="1"/>
  <c r="P39" i="1"/>
  <c r="Q39" i="1"/>
  <c r="R39" i="1"/>
  <c r="O40" i="1" l="1"/>
  <c r="Z40" i="1"/>
  <c r="AX40" i="1"/>
  <c r="S40" i="1"/>
  <c r="AH40" i="1"/>
  <c r="AI40" i="1"/>
  <c r="AV40" i="1"/>
  <c r="AA40" i="1"/>
  <c r="AO40" i="1"/>
  <c r="M40" i="1"/>
  <c r="N40" i="1"/>
  <c r="W40" i="1"/>
  <c r="P40" i="1"/>
  <c r="Q40" i="1"/>
  <c r="R40" i="1"/>
  <c r="AJ40" i="1"/>
  <c r="Y40" i="1"/>
  <c r="AQ40" i="1"/>
  <c r="AC40" i="1"/>
  <c r="AB40" i="1"/>
  <c r="X40" i="1"/>
  <c r="AW40" i="1"/>
  <c r="BD40" i="1"/>
  <c r="BC40" i="1"/>
  <c r="T40" i="1"/>
  <c r="U40" i="1"/>
  <c r="I43" i="1"/>
  <c r="H43" i="1"/>
  <c r="G44" i="1"/>
  <c r="F45" i="1"/>
  <c r="BA41" i="1"/>
  <c r="BB40" i="1" s="1"/>
  <c r="AK41" i="1"/>
  <c r="AR41" i="1"/>
  <c r="AS40" i="1" s="1"/>
  <c r="AF41" i="1"/>
  <c r="AY41" i="1"/>
  <c r="AZ40" i="1" s="1"/>
  <c r="AM41" i="1"/>
  <c r="AN40" i="1" s="1"/>
  <c r="AT41" i="1"/>
  <c r="AU40" i="1" s="1"/>
  <c r="AD41" i="1"/>
  <c r="AE39" i="1"/>
  <c r="L42" i="1"/>
  <c r="AJ41" i="1" s="1"/>
  <c r="K42" i="1"/>
  <c r="BD41" i="1" s="1"/>
  <c r="J42" i="1"/>
  <c r="N41" i="1" s="1"/>
  <c r="AG39" i="1"/>
  <c r="AX41" i="1" l="1"/>
  <c r="AQ41" i="1"/>
  <c r="BC41" i="1"/>
  <c r="AH41" i="1"/>
  <c r="AI41" i="1"/>
  <c r="AW41" i="1"/>
  <c r="W41" i="1"/>
  <c r="AP41" i="1"/>
  <c r="AV41" i="1"/>
  <c r="Y41" i="1"/>
  <c r="AC41" i="1"/>
  <c r="AA41" i="1"/>
  <c r="BE41" i="1"/>
  <c r="AR42" i="1"/>
  <c r="AS41" i="1" s="1"/>
  <c r="AF42" i="1"/>
  <c r="AG41" i="1" s="1"/>
  <c r="AY42" i="1"/>
  <c r="AM42" i="1"/>
  <c r="AN41" i="1" s="1"/>
  <c r="AT42" i="1"/>
  <c r="AD42" i="1"/>
  <c r="BA42" i="1"/>
  <c r="BB41" i="1" s="1"/>
  <c r="AK42" i="1"/>
  <c r="AL41" i="1" s="1"/>
  <c r="R41" i="1"/>
  <c r="AE41" i="1"/>
  <c r="AB41" i="1"/>
  <c r="S41" i="1"/>
  <c r="T41" i="1"/>
  <c r="U41" i="1"/>
  <c r="AL40" i="1"/>
  <c r="V41" i="1"/>
  <c r="M41" i="1"/>
  <c r="G45" i="1"/>
  <c r="F46" i="1"/>
  <c r="K43" i="1"/>
  <c r="AI42" i="1" s="1"/>
  <c r="J43" i="1"/>
  <c r="P42" i="1" s="1"/>
  <c r="L43" i="1"/>
  <c r="AJ42" i="1" s="1"/>
  <c r="X41" i="1"/>
  <c r="AO41" i="1"/>
  <c r="AG40" i="1"/>
  <c r="Z41" i="1"/>
  <c r="O41" i="1"/>
  <c r="P41" i="1"/>
  <c r="Q41" i="1"/>
  <c r="I44" i="1"/>
  <c r="H44" i="1"/>
  <c r="AE40" i="1"/>
  <c r="AH42" i="1" l="1"/>
  <c r="T42" i="1"/>
  <c r="S42" i="1"/>
  <c r="X42" i="1"/>
  <c r="U42" i="1"/>
  <c r="AA42" i="1"/>
  <c r="AV42" i="1"/>
  <c r="R42" i="1"/>
  <c r="AO42" i="1"/>
  <c r="Q42" i="1"/>
  <c r="AQ42" i="1"/>
  <c r="Y42" i="1"/>
  <c r="AB42" i="1"/>
  <c r="V42" i="1"/>
  <c r="O42" i="1"/>
  <c r="AC42" i="1"/>
  <c r="H45" i="1"/>
  <c r="I45" i="1"/>
  <c r="AY43" i="1"/>
  <c r="AM43" i="1"/>
  <c r="AT43" i="1"/>
  <c r="AD43" i="1"/>
  <c r="BA43" i="1"/>
  <c r="BB42" i="1" s="1"/>
  <c r="AK43" i="1"/>
  <c r="AL42" i="1" s="1"/>
  <c r="AF43" i="1"/>
  <c r="AG42" i="1" s="1"/>
  <c r="AR43" i="1"/>
  <c r="AS42" i="1" s="1"/>
  <c r="J44" i="1"/>
  <c r="L44" i="1"/>
  <c r="BE43" i="1" s="1"/>
  <c r="K44" i="1"/>
  <c r="S43" i="1" s="1"/>
  <c r="BE42" i="1"/>
  <c r="AZ41" i="1"/>
  <c r="AW42" i="1"/>
  <c r="AP42" i="1"/>
  <c r="BC42" i="1"/>
  <c r="BD42" i="1"/>
  <c r="Z42" i="1"/>
  <c r="W42" i="1"/>
  <c r="AX42" i="1"/>
  <c r="F47" i="1"/>
  <c r="G46" i="1"/>
  <c r="AU41" i="1"/>
  <c r="M42" i="1"/>
  <c r="N42" i="1"/>
  <c r="AJ43" i="1" l="1"/>
  <c r="Y43" i="1"/>
  <c r="AC43" i="1"/>
  <c r="AQ43" i="1"/>
  <c r="BD43" i="1"/>
  <c r="AX43" i="1"/>
  <c r="AV43" i="1"/>
  <c r="U43" i="1"/>
  <c r="AB43" i="1"/>
  <c r="AW43" i="1"/>
  <c r="AH43" i="1"/>
  <c r="T43" i="1"/>
  <c r="AA43" i="1"/>
  <c r="X43" i="1"/>
  <c r="AO43" i="1"/>
  <c r="AI43" i="1"/>
  <c r="AP43" i="1"/>
  <c r="BC43" i="1"/>
  <c r="BA44" i="1"/>
  <c r="BB43" i="1" s="1"/>
  <c r="AK44" i="1"/>
  <c r="AL43" i="1" s="1"/>
  <c r="AR44" i="1"/>
  <c r="AD44" i="1"/>
  <c r="AE43" i="1" s="1"/>
  <c r="AM44" i="1"/>
  <c r="AN43" i="1" s="1"/>
  <c r="AT44" i="1"/>
  <c r="AF44" i="1"/>
  <c r="AG43" i="1" s="1"/>
  <c r="AY44" i="1"/>
  <c r="N43" i="1"/>
  <c r="Q43" i="1"/>
  <c r="R43" i="1"/>
  <c r="M43" i="1"/>
  <c r="AN42" i="1"/>
  <c r="AE42" i="1"/>
  <c r="H46" i="1"/>
  <c r="I46" i="1"/>
  <c r="P43" i="1"/>
  <c r="V43" i="1"/>
  <c r="O43" i="1"/>
  <c r="AZ42" i="1"/>
  <c r="L45" i="1"/>
  <c r="AX44" i="1" s="1"/>
  <c r="K45" i="1"/>
  <c r="J45" i="1"/>
  <c r="V44" i="1" s="1"/>
  <c r="G47" i="1"/>
  <c r="F48" i="1"/>
  <c r="Z43" i="1"/>
  <c r="W43" i="1"/>
  <c r="AU42" i="1"/>
  <c r="W44" i="1" l="1"/>
  <c r="Y44" i="1"/>
  <c r="N44" i="1"/>
  <c r="AC44" i="1"/>
  <c r="BE44" i="1"/>
  <c r="L46" i="1"/>
  <c r="AB45" i="1" s="1"/>
  <c r="K46" i="1"/>
  <c r="T45" i="1" s="1"/>
  <c r="J46" i="1"/>
  <c r="W45" i="1" s="1"/>
  <c r="F49" i="1"/>
  <c r="G48" i="1"/>
  <c r="M44" i="1"/>
  <c r="R44" i="1"/>
  <c r="S44" i="1"/>
  <c r="X44" i="1"/>
  <c r="AP44" i="1"/>
  <c r="AW44" i="1"/>
  <c r="AI44" i="1"/>
  <c r="U44" i="1"/>
  <c r="AV44" i="1"/>
  <c r="AQ44" i="1"/>
  <c r="I47" i="1"/>
  <c r="H47" i="1"/>
  <c r="AA44" i="1"/>
  <c r="BC44" i="1"/>
  <c r="BD44" i="1"/>
  <c r="AZ43" i="1"/>
  <c r="AS43" i="1"/>
  <c r="P44" i="1"/>
  <c r="Q44" i="1"/>
  <c r="AQ45" i="1"/>
  <c r="AC45" i="1"/>
  <c r="AX45" i="1"/>
  <c r="BE45" i="1"/>
  <c r="Y45" i="1"/>
  <c r="AB44" i="1"/>
  <c r="AJ44" i="1"/>
  <c r="AR45" i="1"/>
  <c r="AF45" i="1"/>
  <c r="AG44" i="1" s="1"/>
  <c r="AY45" i="1"/>
  <c r="AZ44" i="1" s="1"/>
  <c r="AM45" i="1"/>
  <c r="AN44" i="1" s="1"/>
  <c r="BA45" i="1"/>
  <c r="BB44" i="1" s="1"/>
  <c r="AK45" i="1"/>
  <c r="AD45" i="1"/>
  <c r="AT45" i="1"/>
  <c r="T44" i="1"/>
  <c r="AH44" i="1"/>
  <c r="AO44" i="1"/>
  <c r="AU43" i="1"/>
  <c r="O44" i="1"/>
  <c r="Z44" i="1"/>
  <c r="AJ45" i="1" l="1"/>
  <c r="M45" i="1"/>
  <c r="AW45" i="1"/>
  <c r="S45" i="1"/>
  <c r="AR46" i="1"/>
  <c r="AS45" i="1" s="1"/>
  <c r="AF46" i="1"/>
  <c r="AY46" i="1"/>
  <c r="AZ45" i="1" s="1"/>
  <c r="AM46" i="1"/>
  <c r="AN45" i="1" s="1"/>
  <c r="AT46" i="1"/>
  <c r="AD46" i="1"/>
  <c r="BA46" i="1"/>
  <c r="BB45" i="1" s="1"/>
  <c r="AK46" i="1"/>
  <c r="N45" i="1"/>
  <c r="Q45" i="1"/>
  <c r="AS44" i="1"/>
  <c r="I48" i="1"/>
  <c r="H48" i="1"/>
  <c r="AH45" i="1"/>
  <c r="AA45" i="1"/>
  <c r="X45" i="1"/>
  <c r="AE44" i="1"/>
  <c r="R45" i="1"/>
  <c r="AL44" i="1"/>
  <c r="F50" i="1"/>
  <c r="G49" i="1"/>
  <c r="AP45" i="1"/>
  <c r="AI45" i="1"/>
  <c r="AV45" i="1"/>
  <c r="V45" i="1"/>
  <c r="Z45" i="1"/>
  <c r="O45" i="1"/>
  <c r="P45" i="1"/>
  <c r="K47" i="1"/>
  <c r="J47" i="1"/>
  <c r="Q46" i="1" s="1"/>
  <c r="L47" i="1"/>
  <c r="AX46" i="1" s="1"/>
  <c r="AU44" i="1"/>
  <c r="AO45" i="1"/>
  <c r="U45" i="1"/>
  <c r="BC45" i="1"/>
  <c r="BD45" i="1"/>
  <c r="BE46" i="1" l="1"/>
  <c r="AQ46" i="1"/>
  <c r="I49" i="1"/>
  <c r="H49" i="1"/>
  <c r="AP46" i="1"/>
  <c r="S46" i="1"/>
  <c r="T46" i="1"/>
  <c r="W46" i="1"/>
  <c r="U46" i="1"/>
  <c r="K48" i="1"/>
  <c r="X47" i="1" s="1"/>
  <c r="L48" i="1"/>
  <c r="AJ47" i="1" s="1"/>
  <c r="J48" i="1"/>
  <c r="O47" i="1" s="1"/>
  <c r="R46" i="1"/>
  <c r="AA46" i="1"/>
  <c r="X46" i="1"/>
  <c r="AC46" i="1"/>
  <c r="AB46" i="1"/>
  <c r="AU45" i="1"/>
  <c r="AO46" i="1"/>
  <c r="AI46" i="1"/>
  <c r="AV46" i="1"/>
  <c r="AL45" i="1"/>
  <c r="Z46" i="1"/>
  <c r="N46" i="1"/>
  <c r="AG45" i="1"/>
  <c r="F51" i="1"/>
  <c r="G51" i="1" s="1"/>
  <c r="G50" i="1"/>
  <c r="AR47" i="1"/>
  <c r="AF47" i="1"/>
  <c r="AY47" i="1"/>
  <c r="AZ46" i="1" s="1"/>
  <c r="AT47" i="1"/>
  <c r="AU46" i="1" s="1"/>
  <c r="AD47" i="1"/>
  <c r="AE46" i="1" s="1"/>
  <c r="AM47" i="1"/>
  <c r="AN46" i="1" s="1"/>
  <c r="AK47" i="1"/>
  <c r="AL46" i="1" s="1"/>
  <c r="BA47" i="1"/>
  <c r="Y46" i="1"/>
  <c r="AJ46" i="1"/>
  <c r="AH46" i="1"/>
  <c r="AW46" i="1"/>
  <c r="BC46" i="1"/>
  <c r="BD46" i="1"/>
  <c r="M46" i="1"/>
  <c r="V46" i="1"/>
  <c r="O46" i="1"/>
  <c r="P46" i="1"/>
  <c r="AE45" i="1"/>
  <c r="Q47" i="1" l="1"/>
  <c r="M47" i="1"/>
  <c r="R47" i="1"/>
  <c r="Z47" i="1"/>
  <c r="W47" i="1"/>
  <c r="P47" i="1"/>
  <c r="V47" i="1"/>
  <c r="N47" i="1"/>
  <c r="AX47" i="1"/>
  <c r="Y47" i="1"/>
  <c r="BE47" i="1"/>
  <c r="AQ47" i="1"/>
  <c r="AY48" i="1"/>
  <c r="AZ47" i="1" s="1"/>
  <c r="AM48" i="1"/>
  <c r="AN47" i="1" s="1"/>
  <c r="AT48" i="1"/>
  <c r="AU47" i="1" s="1"/>
  <c r="AD48" i="1"/>
  <c r="AE47" i="1" s="1"/>
  <c r="AR48" i="1"/>
  <c r="AS47" i="1" s="1"/>
  <c r="BA48" i="1"/>
  <c r="AF48" i="1"/>
  <c r="AK48" i="1"/>
  <c r="AL47" i="1" s="1"/>
  <c r="AP47" i="1"/>
  <c r="BC47" i="1"/>
  <c r="T47" i="1"/>
  <c r="AA47" i="1"/>
  <c r="S47" i="1"/>
  <c r="I50" i="1"/>
  <c r="H50" i="1"/>
  <c r="BB46" i="1"/>
  <c r="AG46" i="1"/>
  <c r="J49" i="1"/>
  <c r="L49" i="1"/>
  <c r="BE48" i="1" s="1"/>
  <c r="K49" i="1"/>
  <c r="AI48" i="1" s="1"/>
  <c r="AW47" i="1"/>
  <c r="AI47" i="1"/>
  <c r="AV47" i="1"/>
  <c r="I51" i="1"/>
  <c r="H51" i="1"/>
  <c r="AC47" i="1"/>
  <c r="AB47" i="1"/>
  <c r="AS46" i="1"/>
  <c r="U47" i="1"/>
  <c r="AH47" i="1"/>
  <c r="AO47" i="1"/>
  <c r="BD47" i="1"/>
  <c r="S48" i="1" l="1"/>
  <c r="AP48" i="1"/>
  <c r="AH48" i="1"/>
  <c r="AC48" i="1"/>
  <c r="L51" i="1"/>
  <c r="K51" i="1"/>
  <c r="J51" i="1"/>
  <c r="AT49" i="1"/>
  <c r="AU48" i="1" s="1"/>
  <c r="AD49" i="1"/>
  <c r="BA49" i="1"/>
  <c r="BB48" i="1" s="1"/>
  <c r="AY49" i="1"/>
  <c r="AZ48" i="1" s="1"/>
  <c r="AR49" i="1"/>
  <c r="AS48" i="1" s="1"/>
  <c r="AM49" i="1"/>
  <c r="AN48" i="1" s="1"/>
  <c r="AK49" i="1"/>
  <c r="AL48" i="1" s="1"/>
  <c r="AF49" i="1"/>
  <c r="AV48" i="1"/>
  <c r="BD48" i="1"/>
  <c r="AA48" i="1"/>
  <c r="AX48" i="1"/>
  <c r="AQ48" i="1"/>
  <c r="P48" i="1"/>
  <c r="M48" i="1"/>
  <c r="AW48" i="1"/>
  <c r="T48" i="1"/>
  <c r="Y48" i="1"/>
  <c r="Q48" i="1"/>
  <c r="R48" i="1"/>
  <c r="O48" i="1"/>
  <c r="AG47" i="1"/>
  <c r="U48" i="1"/>
  <c r="X48" i="1"/>
  <c r="AO48" i="1"/>
  <c r="BC48" i="1"/>
  <c r="L50" i="1"/>
  <c r="BE49" i="1" s="1"/>
  <c r="K50" i="1"/>
  <c r="T49" i="1" s="1"/>
  <c r="J50" i="1"/>
  <c r="N49" i="1" s="1"/>
  <c r="AB48" i="1"/>
  <c r="AJ48" i="1"/>
  <c r="Z48" i="1"/>
  <c r="V48" i="1"/>
  <c r="N48" i="1"/>
  <c r="W48" i="1"/>
  <c r="BB47" i="1"/>
  <c r="AA49" i="1" l="1"/>
  <c r="AW49" i="1"/>
  <c r="AI49" i="1"/>
  <c r="AP49" i="1"/>
  <c r="Q49" i="1"/>
  <c r="M49" i="1"/>
  <c r="BE51" i="1"/>
  <c r="AC51" i="1"/>
  <c r="Y51" i="1"/>
  <c r="AJ51" i="1"/>
  <c r="AB51" i="1"/>
  <c r="AQ51" i="1"/>
  <c r="AX51" i="1"/>
  <c r="Y49" i="1"/>
  <c r="AT50" i="1"/>
  <c r="AU49" i="1" s="1"/>
  <c r="BA50" i="1"/>
  <c r="BB49" i="1" s="1"/>
  <c r="AK50" i="1"/>
  <c r="AL49" i="1" s="1"/>
  <c r="Q50" i="1"/>
  <c r="M50" i="1"/>
  <c r="AR50" i="1"/>
  <c r="AS49" i="1" s="1"/>
  <c r="AF50" i="1"/>
  <c r="AG49" i="1" s="1"/>
  <c r="P50" i="1"/>
  <c r="W50" i="1"/>
  <c r="O50" i="1"/>
  <c r="AM50" i="1"/>
  <c r="AD50" i="1"/>
  <c r="AE49" i="1" s="1"/>
  <c r="V50" i="1"/>
  <c r="N50" i="1"/>
  <c r="AY50" i="1"/>
  <c r="AZ49" i="1" s="1"/>
  <c r="R50" i="1"/>
  <c r="Z50" i="1"/>
  <c r="AV49" i="1"/>
  <c r="BD49" i="1"/>
  <c r="W49" i="1"/>
  <c r="R49" i="1"/>
  <c r="AQ49" i="1"/>
  <c r="AJ49" i="1"/>
  <c r="AE48" i="1"/>
  <c r="AP50" i="1"/>
  <c r="AW50" i="1"/>
  <c r="AO50" i="1"/>
  <c r="U50" i="1"/>
  <c r="BD50" i="1"/>
  <c r="AV50" i="1"/>
  <c r="X50" i="1"/>
  <c r="T50" i="1"/>
  <c r="BC50" i="1"/>
  <c r="AI50" i="1"/>
  <c r="AA50" i="1"/>
  <c r="S50" i="1"/>
  <c r="AH50" i="1"/>
  <c r="BC49" i="1"/>
  <c r="S49" i="1"/>
  <c r="AO49" i="1"/>
  <c r="P49" i="1"/>
  <c r="AN49" i="1"/>
  <c r="O49" i="1"/>
  <c r="V49" i="1"/>
  <c r="BA51" i="1"/>
  <c r="BB51" i="1" s="1"/>
  <c r="AK51" i="1"/>
  <c r="AL51" i="1" s="1"/>
  <c r="Q51" i="1"/>
  <c r="M51" i="1"/>
  <c r="AR51" i="1"/>
  <c r="AS51" i="1" s="1"/>
  <c r="AF51" i="1"/>
  <c r="AG51" i="1" s="1"/>
  <c r="P51" i="1"/>
  <c r="AY51" i="1"/>
  <c r="AZ51" i="1" s="1"/>
  <c r="AM51" i="1"/>
  <c r="AN51" i="1" s="1"/>
  <c r="W51" i="1"/>
  <c r="O51" i="1"/>
  <c r="V51" i="1"/>
  <c r="R51" i="1"/>
  <c r="AT51" i="1"/>
  <c r="AU51" i="1" s="1"/>
  <c r="AD51" i="1"/>
  <c r="AE51" i="1" s="1"/>
  <c r="N51" i="1"/>
  <c r="Z51" i="1"/>
  <c r="AB49" i="1"/>
  <c r="AX50" i="1"/>
  <c r="BE50" i="1"/>
  <c r="AC50" i="1"/>
  <c r="Y50" i="1"/>
  <c r="AJ50" i="1"/>
  <c r="AB50" i="1"/>
  <c r="AQ50" i="1"/>
  <c r="U49" i="1"/>
  <c r="X49" i="1"/>
  <c r="AH49" i="1"/>
  <c r="Z49" i="1"/>
  <c r="AW51" i="1"/>
  <c r="AW52" i="1" s="1"/>
  <c r="E10" i="7" s="1"/>
  <c r="AO51" i="1"/>
  <c r="U51" i="1"/>
  <c r="BD51" i="1"/>
  <c r="AV51" i="1"/>
  <c r="X51" i="1"/>
  <c r="T51" i="1"/>
  <c r="BC51" i="1"/>
  <c r="AI51" i="1"/>
  <c r="AA51" i="1"/>
  <c r="S51" i="1"/>
  <c r="AH51" i="1"/>
  <c r="AP51" i="1"/>
  <c r="AC49" i="1"/>
  <c r="AX49" i="1"/>
  <c r="AG48" i="1"/>
  <c r="Q52" i="1" l="1"/>
  <c r="D11" i="9" s="1"/>
  <c r="AI52" i="1"/>
  <c r="E10" i="5" s="1"/>
  <c r="AV52" i="1"/>
  <c r="C10" i="7" s="1"/>
  <c r="O52" i="1"/>
  <c r="B11" i="10" s="1"/>
  <c r="P52" i="1"/>
  <c r="D11" i="3" s="1"/>
  <c r="V52" i="1"/>
  <c r="W52" i="1"/>
  <c r="AH52" i="1"/>
  <c r="C10" i="5" s="1"/>
  <c r="T52" i="1"/>
  <c r="C11" i="9" s="1"/>
  <c r="AA52" i="1"/>
  <c r="C10" i="4" s="1"/>
  <c r="X52" i="1"/>
  <c r="AO52" i="1"/>
  <c r="C10" i="6" s="1"/>
  <c r="N52" i="1"/>
  <c r="B11" i="9" s="1"/>
  <c r="M52" i="1"/>
  <c r="B11" i="3" s="1"/>
  <c r="BC52" i="1"/>
  <c r="C10" i="8" s="1"/>
  <c r="BD52" i="1"/>
  <c r="E10" i="8" s="1"/>
  <c r="AP52" i="1"/>
  <c r="E10" i="6" s="1"/>
  <c r="R52" i="1"/>
  <c r="D11" i="10" s="1"/>
  <c r="S52" i="1"/>
  <c r="C11" i="3" s="1"/>
  <c r="U52" i="1"/>
  <c r="C11" i="10" s="1"/>
  <c r="AS50" i="1"/>
  <c r="AS52" i="1" s="1"/>
  <c r="B10" i="7" s="1"/>
  <c r="BB50" i="1"/>
  <c r="BB52" i="1" s="1"/>
  <c r="D10" i="8" s="1"/>
  <c r="AB52" i="1"/>
  <c r="E10" i="4" s="1"/>
  <c r="BE52" i="1"/>
  <c r="F10" i="8" s="1"/>
  <c r="AU50" i="1"/>
  <c r="AU52" i="1" s="1"/>
  <c r="D10" i="7" s="1"/>
  <c r="AJ52" i="1"/>
  <c r="F10" i="5" s="1"/>
  <c r="AE50" i="1"/>
  <c r="AE52" i="1" s="1"/>
  <c r="B10" i="5" s="1"/>
  <c r="AX52" i="1"/>
  <c r="F10" i="7" s="1"/>
  <c r="Y52" i="1"/>
  <c r="Z52" i="1"/>
  <c r="B10" i="4" s="1"/>
  <c r="AZ50" i="1"/>
  <c r="AZ52" i="1" s="1"/>
  <c r="B10" i="8" s="1"/>
  <c r="AN50" i="1"/>
  <c r="AN52" i="1" s="1"/>
  <c r="D10" i="6" s="1"/>
  <c r="AG50" i="1"/>
  <c r="AG52" i="1" s="1"/>
  <c r="D10" i="5" s="1"/>
  <c r="AL50" i="1"/>
  <c r="AL52" i="1" s="1"/>
  <c r="B10" i="6" s="1"/>
  <c r="AQ52" i="1"/>
  <c r="F10" i="6" s="1"/>
  <c r="AC52" i="1"/>
  <c r="F10" i="4" s="1"/>
  <c r="H12" i="3" l="1"/>
  <c r="H11" i="3"/>
  <c r="H12" i="10"/>
  <c r="H12" i="9"/>
  <c r="H11" i="10"/>
  <c r="H11" i="9"/>
  <c r="G12" i="10"/>
  <c r="G12" i="9"/>
  <c r="G12" i="3"/>
  <c r="G11" i="10"/>
  <c r="G11" i="9"/>
  <c r="G11" i="3"/>
  <c r="I12" i="10"/>
  <c r="I12" i="3"/>
  <c r="I12" i="9"/>
  <c r="I11" i="3"/>
  <c r="I11" i="10"/>
  <c r="I11" i="9"/>
</calcChain>
</file>

<file path=xl/sharedStrings.xml><?xml version="1.0" encoding="utf-8"?>
<sst xmlns="http://schemas.openxmlformats.org/spreadsheetml/2006/main" count="729" uniqueCount="252">
  <si>
    <t>cw</t>
  </si>
  <si>
    <t>m/s</t>
  </si>
  <si>
    <t>H</t>
  </si>
  <si>
    <t xml:space="preserve">m </t>
  </si>
  <si>
    <t>phi</t>
  </si>
  <si>
    <t>betased</t>
  </si>
  <si>
    <t>dB/(m kHz)</t>
  </si>
  <si>
    <t>sound speed in water</t>
  </si>
  <si>
    <t>grain size (medium sand)</t>
  </si>
  <si>
    <t>m</t>
  </si>
  <si>
    <t xml:space="preserve">dB </t>
  </si>
  <si>
    <t>thetaMach</t>
  </si>
  <si>
    <t>deg</t>
  </si>
  <si>
    <t>CONVERSIONS</t>
  </si>
  <si>
    <t>USER INPUT PARAMETERS</t>
  </si>
  <si>
    <t>thetarad</t>
  </si>
  <si>
    <t>R_1</t>
  </si>
  <si>
    <t>CONSTANTS</t>
  </si>
  <si>
    <t>pi</t>
  </si>
  <si>
    <t>sintheta</t>
  </si>
  <si>
    <t>costheta</t>
  </si>
  <si>
    <t>tantheta</t>
  </si>
  <si>
    <t>rhow</t>
  </si>
  <si>
    <t>kg/m^3</t>
  </si>
  <si>
    <t xml:space="preserve">SOUND SPEED AT T=23 DEG AND S=35 </t>
  </si>
  <si>
    <t>Tw</t>
  </si>
  <si>
    <t>Sw</t>
  </si>
  <si>
    <t>A_0</t>
  </si>
  <si>
    <t>A_1</t>
  </si>
  <si>
    <t>A_2</t>
  </si>
  <si>
    <t>A_3</t>
  </si>
  <si>
    <t>coefficients for Mackenzie sound speed at 23 deg, 35 PSU</t>
  </si>
  <si>
    <t>Vw</t>
  </si>
  <si>
    <t>Vsed</t>
  </si>
  <si>
    <t>sediment sound speed at 23 deg, 35 PSU</t>
  </si>
  <si>
    <t>costhetac</t>
  </si>
  <si>
    <t>rhosed</t>
  </si>
  <si>
    <t>wsed</t>
  </si>
  <si>
    <t>csed</t>
  </si>
  <si>
    <t>c_sed</t>
  </si>
  <si>
    <t>PHYSICAL PARAMETERS FOR REFLECTION COEFFICIENT</t>
  </si>
  <si>
    <t>gamma</t>
  </si>
  <si>
    <t>ln_10</t>
  </si>
  <si>
    <t>epsilon</t>
  </si>
  <si>
    <t>sinthetac</t>
  </si>
  <si>
    <t>eta</t>
  </si>
  <si>
    <t>Rchh</t>
  </si>
  <si>
    <t>S_2</t>
  </si>
  <si>
    <t>Lchh</t>
  </si>
  <si>
    <t>alpha</t>
  </si>
  <si>
    <t>R_c</t>
  </si>
  <si>
    <t>R/m</t>
  </si>
  <si>
    <t>log10R</t>
  </si>
  <si>
    <t>rad</t>
  </si>
  <si>
    <t>dB/m</t>
  </si>
  <si>
    <t>Np/rad</t>
  </si>
  <si>
    <t>decay rate</t>
  </si>
  <si>
    <t>deg C</t>
  </si>
  <si>
    <t>sound speed ratio</t>
  </si>
  <si>
    <t>density ratio</t>
  </si>
  <si>
    <t>dB per wavelength</t>
  </si>
  <si>
    <t>Arms</t>
  </si>
  <si>
    <t>Brms</t>
  </si>
  <si>
    <t>Apk</t>
  </si>
  <si>
    <t>Bpk</t>
  </si>
  <si>
    <t>correlations</t>
  </si>
  <si>
    <t>range 1.1 - 1.4</t>
  </si>
  <si>
    <t>Lpk</t>
  </si>
  <si>
    <t>Lrms</t>
  </si>
  <si>
    <t>DCS</t>
  </si>
  <si>
    <t>units</t>
  </si>
  <si>
    <t>notes</t>
  </si>
  <si>
    <t>Value</t>
  </si>
  <si>
    <t>Name</t>
  </si>
  <si>
    <t>TTS</t>
  </si>
  <si>
    <t>Behavior</t>
  </si>
  <si>
    <t>PTS Onset</t>
  </si>
  <si>
    <t>TTS Onset</t>
  </si>
  <si>
    <t>dB re 1 µPa (unweighted)</t>
  </si>
  <si>
    <t>Low-frequency cetaceans</t>
  </si>
  <si>
    <t>Mid-frequency cetaceans</t>
  </si>
  <si>
    <t>High-frequency cetaceans</t>
  </si>
  <si>
    <t>Fish Group</t>
  </si>
  <si>
    <t>Recoverable Injury</t>
  </si>
  <si>
    <t>dB re 1 µPa (unweighted)</t>
  </si>
  <si>
    <t>&gt;216</t>
  </si>
  <si>
    <t>&gt;&gt;186</t>
  </si>
  <si>
    <t>&gt;186</t>
  </si>
  <si>
    <t>&gt;207</t>
  </si>
  <si>
    <t>Mortal  Injury</t>
  </si>
  <si>
    <t>Physiological</t>
  </si>
  <si>
    <t>Pile Diameter</t>
  </si>
  <si>
    <t>D/m</t>
  </si>
  <si>
    <t>Hearing Group</t>
  </si>
  <si>
    <t>Hearing group</t>
  </si>
  <si>
    <r>
      <t>SEL</t>
    </r>
    <r>
      <rPr>
        <vertAlign val="subscript"/>
        <sz val="10"/>
        <color theme="1"/>
        <rFont val="Calibri"/>
        <family val="2"/>
        <scheme val="minor"/>
      </rPr>
      <t>12h</t>
    </r>
  </si>
  <si>
    <r>
      <t>L</t>
    </r>
    <r>
      <rPr>
        <vertAlign val="subscript"/>
        <sz val="10"/>
        <color theme="1"/>
        <rFont val="Calibri"/>
        <family val="2"/>
        <scheme val="minor"/>
      </rPr>
      <t>pk</t>
    </r>
  </si>
  <si>
    <r>
      <t>L</t>
    </r>
    <r>
      <rPr>
        <vertAlign val="subscript"/>
        <sz val="10"/>
        <color theme="1"/>
        <rFont val="Calibri"/>
        <family val="2"/>
        <scheme val="minor"/>
      </rPr>
      <t xml:space="preserve">rms </t>
    </r>
  </si>
  <si>
    <r>
      <t xml:space="preserve"> dB re 1 µPa</t>
    </r>
    <r>
      <rPr>
        <vertAlign val="superscript"/>
        <sz val="10"/>
        <color theme="1"/>
        <rFont val="Calibri"/>
        <family val="2"/>
        <scheme val="minor"/>
      </rPr>
      <t>2</t>
    </r>
    <r>
      <rPr>
        <sz val="10"/>
        <color theme="1"/>
        <rFont val="Calibri"/>
        <family val="2"/>
        <scheme val="minor"/>
      </rPr>
      <t>∙s (weighted)</t>
    </r>
  </si>
  <si>
    <t>SELcum</t>
  </si>
  <si>
    <t>SELss</t>
  </si>
  <si>
    <t>range from axis of symmetry</t>
  </si>
  <si>
    <t>Impulsive Signals (Popper 2014)</t>
  </si>
  <si>
    <t>Impulsive Signals (NMFS 2018)</t>
  </si>
  <si>
    <t>Mz</t>
  </si>
  <si>
    <t>Mach cone angle, based on steel sound speed</t>
  </si>
  <si>
    <r>
      <t>SEL</t>
    </r>
    <r>
      <rPr>
        <vertAlign val="subscript"/>
        <sz val="11"/>
        <color theme="9" tint="-0.499984740745262"/>
        <rFont val="Calibri"/>
        <family val="2"/>
        <scheme val="minor"/>
      </rPr>
      <t>ss</t>
    </r>
    <r>
      <rPr>
        <sz val="11"/>
        <color theme="9" tint="-0.499984740745262"/>
        <rFont val="Calibri"/>
        <family val="2"/>
        <scheme val="minor"/>
      </rPr>
      <t>_1</t>
    </r>
  </si>
  <si>
    <t>range from outer pile wall</t>
  </si>
  <si>
    <t># Pile Strikes</t>
  </si>
  <si>
    <t>NON-CHANGEABLE VARIABLES</t>
  </si>
  <si>
    <t>CORRELATIONS FOR Lpk and Lrms</t>
  </si>
  <si>
    <t>RESULTS (m)</t>
  </si>
  <si>
    <t>Range</t>
  </si>
  <si>
    <t>TTS 1 SELcum</t>
  </si>
  <si>
    <t>TTS 2 SELcum</t>
  </si>
  <si>
    <t>Recov Injury 1 SELcum</t>
  </si>
  <si>
    <t>Recov Injury 2 SELcum</t>
  </si>
  <si>
    <t>Injury 1 12h</t>
  </si>
  <si>
    <t>Injury 2 12h</t>
  </si>
  <si>
    <t>Injury Lpk</t>
  </si>
  <si>
    <t>Behavior Lrms</t>
  </si>
  <si>
    <t>Sea Turtles</t>
  </si>
  <si>
    <t>Fishes</t>
  </si>
  <si>
    <t>PTS 1 SELcum</t>
  </si>
  <si>
    <t>Low Frequency</t>
  </si>
  <si>
    <t>PTS Lpk</t>
  </si>
  <si>
    <t>TTS Lpk</t>
  </si>
  <si>
    <t>Mid Frequency</t>
  </si>
  <si>
    <t>High Frequency</t>
  </si>
  <si>
    <t>Phocids</t>
  </si>
  <si>
    <t>Recov Injury 0 SELcum</t>
  </si>
  <si>
    <t>TTS 0 SELcum</t>
  </si>
  <si>
    <t>Recov Injury 0 Lpk</t>
  </si>
  <si>
    <t xml:space="preserve">Recov Injury 1 Lpk </t>
  </si>
  <si>
    <t>Recov Injury 2 Lpk</t>
  </si>
  <si>
    <t>WT calc</t>
  </si>
  <si>
    <t>a</t>
  </si>
  <si>
    <t>b</t>
  </si>
  <si>
    <t>C</t>
  </si>
  <si>
    <r>
      <t>SEL</t>
    </r>
    <r>
      <rPr>
        <vertAlign val="subscript"/>
        <sz val="10"/>
        <color theme="1"/>
        <rFont val="Calibri"/>
        <family val="2"/>
        <scheme val="minor"/>
      </rPr>
      <t>#960</t>
    </r>
    <r>
      <rPr>
        <sz val="10"/>
        <color theme="1"/>
        <rFont val="Calibri"/>
        <family val="2"/>
        <scheme val="minor"/>
      </rPr>
      <t xml:space="preserve"> </t>
    </r>
  </si>
  <si>
    <r>
      <t>dB re 1 µPa</t>
    </r>
    <r>
      <rPr>
        <vertAlign val="superscript"/>
        <sz val="10"/>
        <color theme="1"/>
        <rFont val="Calibri"/>
        <family val="2"/>
        <scheme val="minor"/>
      </rPr>
      <t>2</t>
    </r>
    <r>
      <rPr>
        <sz val="10"/>
        <color theme="1"/>
        <rFont val="Calibri"/>
        <family val="2"/>
        <scheme val="minor"/>
      </rPr>
      <t>∙s (unweighted)</t>
    </r>
  </si>
  <si>
    <t>Sea turtles </t>
  </si>
  <si>
    <t xml:space="preserve"> dB re 1 µPa (unweighted)</t>
  </si>
  <si>
    <r>
      <t>SEL</t>
    </r>
    <r>
      <rPr>
        <vertAlign val="subscript"/>
        <sz val="10"/>
        <color theme="1"/>
        <rFont val="Calibri"/>
        <family val="2"/>
        <scheme val="minor"/>
      </rPr>
      <t>w,24h</t>
    </r>
    <r>
      <rPr>
        <sz val="10"/>
        <color theme="1"/>
        <rFont val="Calibri"/>
        <family val="2"/>
        <scheme val="minor"/>
      </rPr>
      <t xml:space="preserve"> </t>
    </r>
  </si>
  <si>
    <r>
      <t>L</t>
    </r>
    <r>
      <rPr>
        <vertAlign val="subscript"/>
        <sz val="10"/>
        <color theme="1"/>
        <rFont val="Calibri"/>
        <family val="2"/>
        <scheme val="minor"/>
      </rPr>
      <t xml:space="preserve">pk </t>
    </r>
  </si>
  <si>
    <r>
      <t>SEL</t>
    </r>
    <r>
      <rPr>
        <vertAlign val="subscript"/>
        <sz val="10"/>
        <color theme="1"/>
        <rFont val="Calibri"/>
        <family val="2"/>
        <scheme val="minor"/>
      </rPr>
      <t xml:space="preserve">w,24h </t>
    </r>
  </si>
  <si>
    <r>
      <t>dB re 1 µPa</t>
    </r>
    <r>
      <rPr>
        <vertAlign val="superscript"/>
        <sz val="10"/>
        <color theme="1"/>
        <rFont val="Calibri"/>
        <family val="2"/>
        <scheme val="minor"/>
      </rPr>
      <t>2</t>
    </r>
    <r>
      <rPr>
        <sz val="10"/>
        <color theme="1"/>
        <rFont val="Calibri"/>
        <family val="2"/>
        <scheme val="minor"/>
      </rPr>
      <t>∙s</t>
    </r>
  </si>
  <si>
    <r>
      <t>dB re 1µPa</t>
    </r>
    <r>
      <rPr>
        <vertAlign val="superscript"/>
        <sz val="10"/>
        <color theme="1"/>
        <rFont val="Calibri"/>
        <family val="2"/>
        <scheme val="minor"/>
      </rPr>
      <t>2</t>
    </r>
    <r>
      <rPr>
        <sz val="10"/>
        <color theme="1"/>
        <rFont val="Calibri"/>
        <family val="2"/>
        <scheme val="minor"/>
      </rPr>
      <t>∙s</t>
    </r>
  </si>
  <si>
    <r>
      <t>SEL</t>
    </r>
    <r>
      <rPr>
        <vertAlign val="subscript"/>
        <sz val="10"/>
        <color theme="1"/>
        <rFont val="Calibri"/>
        <family val="2"/>
        <scheme val="minor"/>
      </rPr>
      <t>#5</t>
    </r>
    <r>
      <rPr>
        <sz val="10"/>
        <color theme="1"/>
        <rFont val="Calibri"/>
        <family val="2"/>
        <scheme val="minor"/>
      </rPr>
      <t xml:space="preserve"> </t>
    </r>
  </si>
  <si>
    <t>Fishes with swim bladder not involved in hearing</t>
  </si>
  <si>
    <t>Fishes with swim bladder involved in hearing</t>
  </si>
  <si>
    <t>Fishes without swim bladder</t>
  </si>
  <si>
    <t xml:space="preserve">Small fishes (mass &lt;2 g) </t>
  </si>
  <si>
    <t xml:space="preserve">Large fishes (mass ≥2 g) </t>
  </si>
  <si>
    <t xml:space="preserve">The graphs: </t>
  </si>
  <si>
    <t>In accordance with Appendix D of NMFS (2018), the auditory frequency weighting functions for mammals are evaluated at a frequency of 2 kHz.</t>
  </si>
  <si>
    <t>Mz is the sediment grain size (phi). This quantity is equal to -log_2(D/D0), where D = sediment grain diameter and D0 = 1 mm.  See Eq (4.92) and Table 4.18 on pp173-178 of Ainslie (2010).</t>
  </si>
  <si>
    <t>betased is the sediment attenuation coefficient (dB/(m kHz)).  This quantity is equal to alpha/csed, where alpha is the sediment attenuation in dB/lambda and csed is the sediment sound speed (km/s).</t>
  </si>
  <si>
    <t>BASIS</t>
  </si>
  <si>
    <t>Expected number of pile strikes during 24 hours</t>
  </si>
  <si>
    <t>Water depth at the pile</t>
  </si>
  <si>
    <t xml:space="preserve">at 2 kHz </t>
  </si>
  <si>
    <t>kHz</t>
  </si>
  <si>
    <t>Auditory Weighting function parameters (NMFS, 2018)</t>
  </si>
  <si>
    <t>dB</t>
  </si>
  <si>
    <t>--</t>
  </si>
  <si>
    <r>
      <t>kg/m</t>
    </r>
    <r>
      <rPr>
        <vertAlign val="superscript"/>
        <sz val="11"/>
        <color theme="7" tint="-0.499984740745262"/>
        <rFont val="Calibri"/>
        <family val="2"/>
        <scheme val="minor"/>
      </rPr>
      <t>3</t>
    </r>
  </si>
  <si>
    <r>
      <t xml:space="preserve">measured SEL re 1 </t>
    </r>
    <r>
      <rPr>
        <sz val="11"/>
        <color theme="9" tint="-0.499984740745262"/>
        <rFont val="Calibri"/>
        <family val="2"/>
      </rPr>
      <t>µ</t>
    </r>
    <r>
      <rPr>
        <sz val="11"/>
        <color theme="9" tint="-0.499984740745262"/>
        <rFont val="Calibri"/>
        <family val="2"/>
        <scheme val="minor"/>
      </rPr>
      <t>Pa</t>
    </r>
    <r>
      <rPr>
        <vertAlign val="superscript"/>
        <sz val="11"/>
        <color theme="9" tint="-0.499984740745262"/>
        <rFont val="Calibri"/>
        <family val="2"/>
        <scheme val="minor"/>
      </rPr>
      <t>2</t>
    </r>
    <r>
      <rPr>
        <sz val="11"/>
        <color theme="9" tint="-0.499984740745262"/>
        <rFont val="Calibri"/>
        <family val="2"/>
        <scheme val="minor"/>
      </rPr>
      <t xml:space="preserve"> s</t>
    </r>
  </si>
  <si>
    <t xml:space="preserve">Acoustic thresholds in tables and  graphical representation. </t>
  </si>
  <si>
    <t>Each species sheet contains:</t>
  </si>
  <si>
    <t>Project title and information - provided at the top of the Calcs page; use as desired</t>
  </si>
  <si>
    <t>threshold lines:</t>
  </si>
  <si>
    <t>Non-editable</t>
  </si>
  <si>
    <t>Caveats</t>
  </si>
  <si>
    <t>Phocid pinnipeds (underwater)</t>
  </si>
  <si>
    <t>CALCULATIONS TAB</t>
  </si>
  <si>
    <t>PARAMETERS</t>
  </si>
  <si>
    <t>Uneditable Red filled cells</t>
  </si>
  <si>
    <t>water depth</t>
  </si>
  <si>
    <t>ANIMAL TABS</t>
  </si>
  <si>
    <t xml:space="preserve">   X-axis is the distance from the axis of symmetry of the pile (center of the pile)</t>
  </si>
  <si>
    <t xml:space="preserve">   Y-axis is the decibel level</t>
  </si>
  <si>
    <t xml:space="preserve">   The curves represent the DCS prediction for the various metrics (SELcum, Lpk, Lrms)</t>
  </si>
  <si>
    <t xml:space="preserve">   The horizontal line that matches the DCS curve color is the acoustic metric threshold</t>
  </si>
  <si>
    <t xml:space="preserve">   The point where the horizontal threshold and DCS curve intersect determines the range of impact</t>
  </si>
  <si>
    <t xml:space="preserve">   These range results are shown in the green cells. </t>
  </si>
  <si>
    <t>Copy of exact input variables from the calcs tab (uneditable on these tabs)</t>
  </si>
  <si>
    <t>REFERENCES</t>
  </si>
  <si>
    <t>Popper A.N., A.D. Hawkins, R.R. Fay, D.A. Mann, S. Bartol, T.J. Carlson, S. Coombs, W.T. Ellison, R.L. Gentry, M.B. Halvorsen, S. Løkkeborg, P.H. Rogers, B.L. Southall, D.G. Zeddies, and W.N. Tavolga. 2014. Sound Exposure Guidelines for Fishes and Sea Turtles. Springer Briefs in Oceanography. ANSI-Accredited Standards Committee S3/SC1.4 TR-2014.</t>
  </si>
  <si>
    <t>Lippert, T, MA Ainslie, and O von Estorff. 2018. Pile driving acoustics made simple: Damped cylindrical spreading model. The Journal of the Acoustical Society of America 143(1):310-317.</t>
  </si>
  <si>
    <t xml:space="preserve">Greater Atlantic Regional Fisheries Office (GARFO). 2018. Acoustic Tool: Analyzing the effects of pile driving on ESA-listed species in the Greater Atlantic Region. National Marine Fisheries Services (NMFS). Accessed at: http://www.greateratlantic.fisheries.noaa.gov/protected/section7/guidance/consultation/index.html. </t>
  </si>
  <si>
    <t>&lt;Enter Project Title here; it auto-populates onto each animal tab&gt;</t>
  </si>
  <si>
    <t>&lt;Enter project info here;  it auto-populates onto each animal tab&gt;</t>
  </si>
  <si>
    <t>Stadler, J.H., and D.P. Woodbury. 2009. Assessing the effects to fishes from pile driving: Application of new hydroacoustic criteria, inter-noise 2009, 23-26 August, Ottawa, Canada</t>
  </si>
  <si>
    <t>(GARFO 2018)</t>
  </si>
  <si>
    <t>Impulsive Signals 
(Popper 2014)</t>
  </si>
  <si>
    <t>Injury 
(Stadler and Woodbury 2009)</t>
  </si>
  <si>
    <t>Injury 
(Stadler &amp; Woodbury 2009)</t>
  </si>
  <si>
    <t>Copy of project title from the calcs tab (uneditable on these tabs)</t>
  </si>
  <si>
    <t>corresponds to 0.5 dB per wavelength (Lippert et al 2018)</t>
  </si>
  <si>
    <t>Ainslie, M. A. (2010). Principles of sonar performance modelling (p. 800). Berlin: Springer.</t>
  </si>
  <si>
    <t>thetaMach is the Mach cone angle (deg). This quantity is related to the compressional speed of sound in steel. Its value is usually 17 deg, corresponding to a compressional speed of 5130 m/s. The higher the compressional speed, the smaller the angle.</t>
  </si>
  <si>
    <t>over 24 h period</t>
  </si>
  <si>
    <t>National Marine Fisheries Service (NMFS). 2018. 2018 Revisions to: Technical Guidance for Assessing the Effects of Anthropogenic Sound on Marine Mammal Hearing (Version 2.0): Underwater Thresholds for Onset of Permanent and Temporary Threshold Shifts. U.S. Department of Commerce, National Oceanic and Atmospheric Administration. NOAA Technical Memorandum NMFS-OPR-59. 167 pp.</t>
  </si>
  <si>
    <t>distance of measured SELss (B8); R_1 &gt; D/2</t>
  </si>
  <si>
    <t>Pile Diameter (D)</t>
  </si>
  <si>
    <t>Fed Reg 2005</t>
  </si>
  <si>
    <t>Federal Register. 2005. NOAA. ID 060804F. Endangered Fish and Wildlife, Notice of Intent to Prepare an EIS 70(7):1871-1875.</t>
  </si>
  <si>
    <t>The Damped Cylindrical Spreading  (DCS) model prediction (x-axes) ends at 5 km because at that point acoustic propagation follows power law which is not predicted by DCS</t>
  </si>
  <si>
    <t>The Damped Cylindrical Spreading  (DCS) model prediction (x-axes) ends at      5 km because at that point acoustic propagation follows power law which is not predicted by DCS</t>
  </si>
  <si>
    <t>The Damped Cylindrical Spreading  (DCS) model prediction (x-axes) ends at         5 km because at that point acoustic propagation follows power law which is not predicted by DCS</t>
  </si>
  <si>
    <r>
      <t>f</t>
    </r>
    <r>
      <rPr>
        <i/>
        <vertAlign val="subscript"/>
        <sz val="11"/>
        <color theme="0"/>
        <rFont val="Calibri"/>
        <family val="2"/>
        <scheme val="minor"/>
      </rPr>
      <t>1</t>
    </r>
  </si>
  <si>
    <r>
      <t>f</t>
    </r>
    <r>
      <rPr>
        <i/>
        <vertAlign val="subscript"/>
        <sz val="11"/>
        <color theme="0"/>
        <rFont val="Calibri"/>
        <family val="2"/>
        <scheme val="minor"/>
      </rPr>
      <t>2</t>
    </r>
  </si>
  <si>
    <t xml:space="preserve">For this worksheet, the x-axis distance is based on an origin within the vertical center of a steel pile (aka, axis of symmetry). Such that, for a 3 m diameter pile; 1.5 m is the pile wall, thus 1 m is actually within the pile.
</t>
  </si>
  <si>
    <r>
      <t xml:space="preserve">A measured SEL (dB re 1 </t>
    </r>
    <r>
      <rPr>
        <sz val="11"/>
        <color theme="1"/>
        <rFont val="Calibri"/>
        <family val="2"/>
      </rPr>
      <t>µ</t>
    </r>
    <r>
      <rPr>
        <sz val="11"/>
        <color theme="1"/>
        <rFont val="Calibri"/>
        <family val="2"/>
        <scheme val="minor"/>
      </rPr>
      <t>Pa</t>
    </r>
    <r>
      <rPr>
        <vertAlign val="superscript"/>
        <sz val="11"/>
        <color theme="1"/>
        <rFont val="Calibri"/>
        <family val="2"/>
        <scheme val="minor"/>
      </rPr>
      <t>2</t>
    </r>
    <r>
      <rPr>
        <sz val="11"/>
        <color theme="1"/>
        <rFont val="Calibri"/>
        <family val="2"/>
        <scheme val="minor"/>
      </rPr>
      <t xml:space="preserve"> s) of the pile (SEL1)</t>
    </r>
  </si>
  <si>
    <t>The range at which SEL1 is measured (must be more than half the pile diameter)</t>
  </si>
  <si>
    <t>Pile diameter</t>
  </si>
  <si>
    <t>density of water</t>
  </si>
  <si>
    <t>sound speed in water (cw)</t>
  </si>
  <si>
    <t>density of water (rhow)</t>
  </si>
  <si>
    <t>Impact range results are shown in green cells</t>
  </si>
  <si>
    <t>Constants</t>
  </si>
  <si>
    <t>Conversions</t>
  </si>
  <si>
    <t>Correlations for Lpk and Lrms</t>
  </si>
  <si>
    <t xml:space="preserve">Sound speed at T=23 DEG and  S=35 </t>
  </si>
  <si>
    <t>Physical parameters for reflection coefficient</t>
  </si>
  <si>
    <t>Fishes SB0</t>
  </si>
  <si>
    <t>Fishes SB1</t>
  </si>
  <si>
    <t>Fishes SB2</t>
  </si>
  <si>
    <t>LF Cetacean</t>
  </si>
  <si>
    <t>MF Cetacean</t>
  </si>
  <si>
    <t>HF Cetacean</t>
  </si>
  <si>
    <t>Sea turtles</t>
  </si>
  <si>
    <t>Phocids (underwater)</t>
  </si>
  <si>
    <t>Project Input Variables (Required)</t>
  </si>
  <si>
    <t>Advanced Project Input Variables (Not Required)</t>
  </si>
  <si>
    <t>Units</t>
  </si>
  <si>
    <t>Notes</t>
  </si>
  <si>
    <t>DESCRIPTIONS</t>
  </si>
  <si>
    <r>
      <t>Five required Input Project Variables (</t>
    </r>
    <r>
      <rPr>
        <b/>
        <sz val="11"/>
        <rFont val="Calibri"/>
        <family val="2"/>
        <scheme val="minor"/>
      </rPr>
      <t>bright green cells</t>
    </r>
    <r>
      <rPr>
        <sz val="11"/>
        <rFont val="Calibri"/>
        <family val="2"/>
        <scheme val="minor"/>
      </rPr>
      <t xml:space="preserve"> in Column B on calc page):</t>
    </r>
  </si>
  <si>
    <r>
      <t>Four Advanced Input Project Variables (</t>
    </r>
    <r>
      <rPr>
        <b/>
        <sz val="11"/>
        <color theme="1"/>
        <rFont val="Calibri"/>
        <family val="2"/>
        <scheme val="minor"/>
      </rPr>
      <t>bright yellow cells</t>
    </r>
    <r>
      <rPr>
        <sz val="11"/>
        <color theme="1"/>
        <rFont val="Calibri"/>
        <family val="2"/>
        <scheme val="minor"/>
      </rPr>
      <t xml:space="preserve">  in Column B on calc page) - not required:</t>
    </r>
  </si>
  <si>
    <t>8 SPECIES-GROUP SHEETS</t>
  </si>
  <si>
    <t>Fishes without a swim bladder</t>
  </si>
  <si>
    <t>CALCULATOR: Do Not Edit beyond Column-C, else all results will be in error</t>
  </si>
  <si>
    <t>For this project, the x-axis distance is based on an origin within the vertical center of the pile. Such that, for a 3 m diameter pile; 1.5 m is the pile wall, thus 1 m is actually within the pile.
The x-axis ends at 5 km because acoustic propagation follows power law which is not predicted by DCS</t>
  </si>
  <si>
    <t>The Damped Cylindrical Spreading (DCS) model prediction (x-axes) ends at 5 km because confidence in the accuracy of the prediction begins to decrease beyond that range.</t>
  </si>
  <si>
    <t>This model worksheet can be used to supplement the NOAA user spreadsheet for offshore pile driving as the DCS predictions are more representative of field measurements.</t>
  </si>
  <si>
    <t>▪</t>
  </si>
  <si>
    <t>Frequency Weighting</t>
  </si>
  <si>
    <t>Results tabs are formatted to print onto 11" x 17" size paper</t>
  </si>
  <si>
    <t>Print to PDF to capture results figures</t>
  </si>
  <si>
    <t>Damped Cylindrical Spreading Model 
for Offshore Steel Piles 20200130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</si>
</sst>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36"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vertAlign val="superscript"/>
      <sz val="11"/>
      <color theme="1"/>
      <name val="Calibri"/>
      <family val="2"/>
      <scheme val="minor"/>
    </font>
    <font>
      <sz val="11"/>
      <color theme="1"/>
      <name val="Calibri"/>
      <family val="2"/>
    </font>
    <font>
      <sz val="11"/>
      <color rgb="FFFF0000"/>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vertAlign val="subscript"/>
      <sz val="10"/>
      <color theme="1"/>
      <name val="Calibri"/>
      <family val="2"/>
      <scheme val="minor"/>
    </font>
    <font>
      <sz val="9"/>
      <name val="Calibri"/>
      <family val="2"/>
      <scheme val="minor"/>
    </font>
    <font>
      <sz val="10"/>
      <name val="Calibri"/>
      <family val="2"/>
      <scheme val="minor"/>
    </font>
    <font>
      <sz val="11"/>
      <color theme="9" tint="-0.499984740745262"/>
      <name val="Calibri"/>
      <family val="2"/>
      <scheme val="minor"/>
    </font>
    <font>
      <vertAlign val="subscript"/>
      <sz val="11"/>
      <color theme="9" tint="-0.499984740745262"/>
      <name val="Calibri"/>
      <family val="2"/>
      <scheme val="minor"/>
    </font>
    <font>
      <sz val="11"/>
      <name val="Calibri"/>
      <family val="2"/>
      <scheme val="minor"/>
    </font>
    <font>
      <b/>
      <sz val="16"/>
      <color theme="1"/>
      <name val="Calibri"/>
      <family val="2"/>
      <scheme val="minor"/>
    </font>
    <font>
      <b/>
      <sz val="11"/>
      <color theme="9" tint="-0.499984740745262"/>
      <name val="Calibri"/>
      <family val="2"/>
      <scheme val="minor"/>
    </font>
    <font>
      <b/>
      <sz val="11"/>
      <color theme="7" tint="-0.499984740745262"/>
      <name val="Calibri"/>
      <family val="2"/>
      <scheme val="minor"/>
    </font>
    <font>
      <sz val="11"/>
      <color theme="7" tint="-0.499984740745262"/>
      <name val="Calibri"/>
      <family val="2"/>
      <scheme val="minor"/>
    </font>
    <font>
      <vertAlign val="superscript"/>
      <sz val="11"/>
      <color theme="7" tint="-0.499984740745262"/>
      <name val="Calibri"/>
      <family val="2"/>
      <scheme val="minor"/>
    </font>
    <font>
      <sz val="11"/>
      <color theme="9" tint="-0.499984740745262"/>
      <name val="Calibri"/>
      <family val="2"/>
    </font>
    <font>
      <vertAlign val="superscript"/>
      <sz val="11"/>
      <color theme="9" tint="-0.499984740745262"/>
      <name val="Calibri"/>
      <family val="2"/>
      <scheme val="minor"/>
    </font>
    <font>
      <b/>
      <sz val="11"/>
      <name val="Calibri"/>
      <family val="2"/>
      <scheme val="minor"/>
    </font>
    <font>
      <u/>
      <sz val="11"/>
      <color theme="10"/>
      <name val="Calibri"/>
      <family val="2"/>
      <scheme val="minor"/>
    </font>
    <font>
      <sz val="10"/>
      <color theme="0" tint="-4.9989318521683403E-2"/>
      <name val="Calibri"/>
      <family val="2"/>
      <scheme val="minor"/>
    </font>
    <font>
      <sz val="11"/>
      <color theme="0" tint="-4.9989318521683403E-2"/>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i/>
      <vertAlign val="subscript"/>
      <sz val="11"/>
      <color theme="0"/>
      <name val="Calibri"/>
      <family val="2"/>
      <scheme val="minor"/>
    </font>
    <font>
      <sz val="11"/>
      <color theme="0" tint="-0.249977111117893"/>
      <name val="Calibri"/>
      <family val="2"/>
      <scheme val="minor"/>
    </font>
    <font>
      <sz val="9"/>
      <color theme="0"/>
      <name val="Calibri"/>
      <family val="2"/>
      <scheme val="minor"/>
    </font>
    <font>
      <sz val="10"/>
      <color theme="0"/>
      <name val="Calibri"/>
      <family val="2"/>
      <scheme val="minor"/>
    </font>
    <font>
      <b/>
      <sz val="11"/>
      <color rgb="FFFF0000"/>
      <name val="Calibri"/>
      <family val="2"/>
      <scheme val="minor"/>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656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99FF"/>
        <bgColor indexed="64"/>
      </patternFill>
    </fill>
    <fill>
      <patternFill patternType="solid">
        <fgColor theme="4" tint="0.59999389629810485"/>
        <bgColor indexed="64"/>
      </patternFill>
    </fill>
    <fill>
      <patternFill patternType="solid">
        <fgColor rgb="FFDDDDDD"/>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bgColor indexed="64"/>
      </patternFill>
    </fill>
    <fill>
      <patternFill patternType="solid">
        <fgColor rgb="FFFF6600"/>
        <bgColor indexed="64"/>
      </patternFill>
    </fill>
    <fill>
      <patternFill patternType="solid">
        <fgColor rgb="FFFF9999"/>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00FF00"/>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99FF99"/>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25" fillId="0" borderId="0" applyNumberFormat="0" applyFill="0" applyBorder="0" applyAlignment="0" applyProtection="0"/>
  </cellStyleXfs>
  <cellXfs count="357">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xf numFmtId="0" fontId="0" fillId="0" borderId="0" xfId="0" applyFont="1" applyFill="1" applyBorder="1"/>
    <xf numFmtId="0" fontId="0" fillId="0" borderId="0" xfId="0" applyAlignment="1">
      <alignment horizontal="left"/>
    </xf>
    <xf numFmtId="0" fontId="16" fillId="0" borderId="0" xfId="0" applyFont="1" applyAlignment="1">
      <alignment horizontal="left" vertical="top" wrapText="1"/>
    </xf>
    <xf numFmtId="0" fontId="32" fillId="0" borderId="4" xfId="0" applyFont="1" applyFill="1" applyBorder="1" applyProtection="1">
      <protection hidden="1"/>
    </xf>
    <xf numFmtId="0" fontId="32" fillId="0" borderId="5" xfId="0" applyFont="1" applyFill="1" applyBorder="1" applyProtection="1">
      <protection hidden="1"/>
    </xf>
    <xf numFmtId="0" fontId="32" fillId="0" borderId="5" xfId="0" applyFont="1" applyBorder="1" applyProtection="1">
      <protection hidden="1"/>
    </xf>
    <xf numFmtId="0" fontId="29" fillId="0" borderId="36" xfId="0" applyFont="1" applyFill="1" applyBorder="1" applyProtection="1">
      <protection hidden="1"/>
    </xf>
    <xf numFmtId="0" fontId="29" fillId="0" borderId="51" xfId="0" applyFont="1" applyFill="1" applyBorder="1" applyProtection="1">
      <protection hidden="1"/>
    </xf>
    <xf numFmtId="0" fontId="32" fillId="0" borderId="6" xfId="0" applyFont="1" applyBorder="1" applyProtection="1">
      <protection hidden="1"/>
    </xf>
    <xf numFmtId="0" fontId="29" fillId="0" borderId="11" xfId="0" applyFont="1" applyBorder="1" applyAlignment="1" applyProtection="1">
      <alignment horizontal="center" vertical="center"/>
      <protection hidden="1"/>
    </xf>
    <xf numFmtId="0" fontId="29" fillId="0" borderId="0" xfId="0" applyFont="1" applyFill="1" applyBorder="1" applyAlignment="1" applyProtection="1">
      <alignment horizontal="center" vertical="center"/>
      <protection hidden="1"/>
    </xf>
    <xf numFmtId="0" fontId="29" fillId="0" borderId="0" xfId="0" applyFont="1" applyBorder="1" applyAlignment="1" applyProtection="1">
      <alignment horizontal="center" vertical="center"/>
      <protection hidden="1"/>
    </xf>
    <xf numFmtId="0" fontId="29" fillId="0" borderId="10" xfId="0" applyFont="1" applyBorder="1" applyAlignment="1" applyProtection="1">
      <alignment horizontal="center" vertical="center"/>
      <protection hidden="1"/>
    </xf>
    <xf numFmtId="0" fontId="33" fillId="0" borderId="43" xfId="0" applyFont="1" applyBorder="1" applyAlignment="1" applyProtection="1">
      <alignment horizontal="center" vertical="center" wrapText="1"/>
      <protection hidden="1"/>
    </xf>
    <xf numFmtId="0" fontId="33" fillId="0" borderId="20" xfId="0" applyFont="1" applyBorder="1" applyAlignment="1" applyProtection="1">
      <alignment horizontal="center" vertical="center" wrapText="1"/>
      <protection hidden="1"/>
    </xf>
    <xf numFmtId="0" fontId="34" fillId="0" borderId="20" xfId="0" applyFont="1" applyBorder="1" applyAlignment="1" applyProtection="1">
      <alignment horizontal="center" vertical="center" wrapText="1"/>
      <protection hidden="1"/>
    </xf>
    <xf numFmtId="0" fontId="34" fillId="0" borderId="38" xfId="0" applyFont="1" applyBorder="1" applyAlignment="1" applyProtection="1">
      <alignment horizontal="center" vertical="center" wrapText="1"/>
      <protection hidden="1"/>
    </xf>
    <xf numFmtId="0" fontId="34" fillId="0" borderId="43" xfId="0" applyFont="1" applyBorder="1" applyAlignment="1" applyProtection="1">
      <alignment horizontal="center" vertical="center" wrapText="1"/>
      <protection hidden="1"/>
    </xf>
    <xf numFmtId="0" fontId="33" fillId="0" borderId="38" xfId="0" applyFont="1" applyBorder="1" applyAlignment="1" applyProtection="1">
      <alignment horizontal="center" vertical="center" wrapText="1"/>
      <protection hidden="1"/>
    </xf>
    <xf numFmtId="0" fontId="33" fillId="0" borderId="20" xfId="0" applyFont="1" applyFill="1" applyBorder="1" applyAlignment="1" applyProtection="1">
      <alignment horizontal="center" vertical="center" wrapText="1"/>
      <protection hidden="1"/>
    </xf>
    <xf numFmtId="0" fontId="32" fillId="0" borderId="49" xfId="0" applyFont="1" applyBorder="1" applyAlignment="1" applyProtection="1">
      <alignment horizontal="center"/>
      <protection hidden="1"/>
    </xf>
    <xf numFmtId="0" fontId="32" fillId="0" borderId="21" xfId="0" applyFont="1" applyFill="1" applyBorder="1" applyAlignment="1" applyProtection="1">
      <alignment horizontal="center" wrapText="1"/>
      <protection hidden="1"/>
    </xf>
    <xf numFmtId="0" fontId="32" fillId="0" borderId="21" xfId="0" applyFont="1" applyBorder="1" applyAlignment="1" applyProtection="1">
      <alignment horizontal="center" wrapText="1"/>
      <protection hidden="1"/>
    </xf>
    <xf numFmtId="0" fontId="32" fillId="0" borderId="21" xfId="0" applyFont="1" applyBorder="1" applyAlignment="1" applyProtection="1">
      <alignment horizontal="center"/>
      <protection hidden="1"/>
    </xf>
    <xf numFmtId="0" fontId="32" fillId="0" borderId="21" xfId="0" applyFont="1" applyFill="1" applyBorder="1" applyAlignment="1" applyProtection="1">
      <alignment horizontal="center"/>
      <protection hidden="1"/>
    </xf>
    <xf numFmtId="0" fontId="32" fillId="0" borderId="50" xfId="0" applyFont="1" applyBorder="1" applyAlignment="1" applyProtection="1">
      <alignment horizontal="center"/>
      <protection hidden="1"/>
    </xf>
    <xf numFmtId="0" fontId="32" fillId="19" borderId="40" xfId="0" applyFont="1" applyFill="1" applyBorder="1" applyAlignment="1" applyProtection="1">
      <alignment horizontal="center" wrapText="1"/>
      <protection hidden="1"/>
    </xf>
    <xf numFmtId="0" fontId="32" fillId="19" borderId="37" xfId="0" applyFont="1" applyFill="1" applyBorder="1" applyAlignment="1" applyProtection="1">
      <alignment horizontal="center" wrapText="1"/>
      <protection hidden="1"/>
    </xf>
    <xf numFmtId="0" fontId="32" fillId="20" borderId="41" xfId="0" applyFont="1" applyFill="1" applyBorder="1" applyAlignment="1" applyProtection="1">
      <alignment horizontal="center" wrapText="1"/>
      <protection hidden="1"/>
    </xf>
    <xf numFmtId="0" fontId="32" fillId="20" borderId="37" xfId="0" applyFont="1" applyFill="1" applyBorder="1" applyAlignment="1" applyProtection="1">
      <alignment horizontal="center" wrapText="1"/>
      <protection hidden="1"/>
    </xf>
    <xf numFmtId="0" fontId="32" fillId="20" borderId="8" xfId="0" applyFont="1" applyFill="1" applyBorder="1" applyAlignment="1" applyProtection="1">
      <alignment horizontal="center" wrapText="1"/>
      <protection hidden="1"/>
    </xf>
    <xf numFmtId="0" fontId="32" fillId="20" borderId="42" xfId="0" applyFont="1" applyFill="1" applyBorder="1" applyAlignment="1" applyProtection="1">
      <alignment horizontal="center" wrapText="1"/>
      <protection hidden="1"/>
    </xf>
    <xf numFmtId="0" fontId="32" fillId="21" borderId="9" xfId="0" applyFont="1" applyFill="1" applyBorder="1" applyAlignment="1" applyProtection="1">
      <alignment horizontal="center" wrapText="1"/>
      <protection hidden="1"/>
    </xf>
    <xf numFmtId="0" fontId="32" fillId="21" borderId="42" xfId="0" applyFont="1" applyFill="1" applyBorder="1" applyAlignment="1" applyProtection="1">
      <alignment horizontal="center" wrapText="1"/>
      <protection hidden="1"/>
    </xf>
    <xf numFmtId="0" fontId="32" fillId="8" borderId="34" xfId="0" applyFont="1" applyFill="1" applyBorder="1" applyAlignment="1" applyProtection="1">
      <alignment horizontal="center"/>
      <protection hidden="1"/>
    </xf>
    <xf numFmtId="0" fontId="32" fillId="24" borderId="35" xfId="0" applyFont="1" applyFill="1" applyBorder="1" applyAlignment="1" applyProtection="1">
      <alignment horizontal="center"/>
      <protection hidden="1"/>
    </xf>
    <xf numFmtId="0" fontId="32" fillId="16" borderId="35" xfId="0" applyFont="1" applyFill="1" applyBorder="1" applyAlignment="1" applyProtection="1">
      <alignment horizontal="center"/>
      <protection hidden="1"/>
    </xf>
    <xf numFmtId="0" fontId="32" fillId="9" borderId="35" xfId="0" applyFont="1" applyFill="1" applyBorder="1" applyAlignment="1" applyProtection="1">
      <alignment horizontal="center"/>
      <protection hidden="1"/>
    </xf>
    <xf numFmtId="0" fontId="32" fillId="13" borderId="35" xfId="0" applyFont="1" applyFill="1" applyBorder="1" applyAlignment="1" applyProtection="1">
      <alignment horizontal="center"/>
      <protection hidden="1"/>
    </xf>
    <xf numFmtId="0" fontId="32" fillId="6" borderId="35" xfId="0" applyFont="1" applyFill="1" applyBorder="1" applyAlignment="1" applyProtection="1">
      <alignment horizontal="center"/>
      <protection hidden="1"/>
    </xf>
    <xf numFmtId="0" fontId="32" fillId="7" borderId="36" xfId="0" applyFont="1" applyFill="1" applyBorder="1" applyAlignment="1" applyProtection="1">
      <alignment horizontal="center"/>
      <protection hidden="1"/>
    </xf>
    <xf numFmtId="0" fontId="32" fillId="0" borderId="40" xfId="0" applyFont="1" applyBorder="1" applyAlignment="1" applyProtection="1">
      <alignment horizontal="center"/>
      <protection hidden="1"/>
    </xf>
    <xf numFmtId="0" fontId="32" fillId="0" borderId="37" xfId="0" applyFont="1" applyBorder="1" applyAlignment="1" applyProtection="1">
      <alignment horizontal="center"/>
      <protection hidden="1"/>
    </xf>
    <xf numFmtId="0" fontId="32" fillId="0" borderId="41" xfId="0" applyFont="1" applyBorder="1" applyAlignment="1" applyProtection="1">
      <alignment horizontal="center"/>
      <protection hidden="1"/>
    </xf>
    <xf numFmtId="0" fontId="32" fillId="0" borderId="8" xfId="0" applyFont="1" applyBorder="1" applyAlignment="1" applyProtection="1">
      <alignment horizontal="center"/>
      <protection hidden="1"/>
    </xf>
    <xf numFmtId="0" fontId="32" fillId="0" borderId="9" xfId="0" applyFont="1" applyBorder="1" applyAlignment="1" applyProtection="1">
      <alignment horizontal="center"/>
      <protection hidden="1"/>
    </xf>
    <xf numFmtId="0" fontId="32" fillId="0" borderId="42" xfId="0" applyFont="1" applyBorder="1" applyAlignment="1" applyProtection="1">
      <alignment horizontal="center"/>
      <protection hidden="1"/>
    </xf>
    <xf numFmtId="0" fontId="32" fillId="25" borderId="40" xfId="0" applyFont="1" applyFill="1" applyBorder="1" applyAlignment="1" applyProtection="1">
      <alignment horizontal="center"/>
      <protection hidden="1"/>
    </xf>
    <xf numFmtId="0" fontId="32" fillId="25" borderId="37" xfId="0" applyFont="1" applyFill="1" applyBorder="1" applyAlignment="1" applyProtection="1">
      <alignment horizontal="center"/>
      <protection hidden="1"/>
    </xf>
    <xf numFmtId="0" fontId="32" fillId="12" borderId="42" xfId="0" applyFont="1" applyFill="1" applyBorder="1" applyAlignment="1" applyProtection="1">
      <alignment horizontal="center"/>
      <protection hidden="1"/>
    </xf>
    <xf numFmtId="0" fontId="32" fillId="25" borderId="42" xfId="0" applyFont="1" applyFill="1" applyBorder="1" applyAlignment="1" applyProtection="1">
      <alignment horizontal="center"/>
      <protection hidden="1"/>
    </xf>
    <xf numFmtId="164" fontId="29" fillId="0" borderId="11" xfId="0" applyNumberFormat="1" applyFont="1" applyFill="1" applyBorder="1" applyProtection="1">
      <protection hidden="1"/>
    </xf>
    <xf numFmtId="2" fontId="29" fillId="0" borderId="20" xfId="0" applyNumberFormat="1" applyFont="1" applyFill="1" applyBorder="1" applyProtection="1">
      <protection hidden="1"/>
    </xf>
    <xf numFmtId="2" fontId="29" fillId="0" borderId="0" xfId="0" applyNumberFormat="1" applyFont="1" applyFill="1" applyBorder="1" applyProtection="1">
      <protection hidden="1"/>
    </xf>
    <xf numFmtId="165" fontId="29" fillId="0" borderId="43" xfId="0" applyNumberFormat="1" applyFont="1" applyFill="1" applyBorder="1" applyProtection="1">
      <protection hidden="1"/>
    </xf>
    <xf numFmtId="165" fontId="29" fillId="0" borderId="20" xfId="0" applyNumberFormat="1" applyFont="1" applyFill="1" applyBorder="1" applyProtection="1">
      <protection hidden="1"/>
    </xf>
    <xf numFmtId="165" fontId="29" fillId="0" borderId="38" xfId="0" applyNumberFormat="1" applyFont="1" applyFill="1" applyBorder="1" applyProtection="1">
      <protection hidden="1"/>
    </xf>
    <xf numFmtId="165" fontId="29" fillId="0" borderId="0" xfId="0" applyNumberFormat="1" applyFont="1" applyFill="1" applyBorder="1" applyProtection="1">
      <protection hidden="1"/>
    </xf>
    <xf numFmtId="165" fontId="29" fillId="0" borderId="39" xfId="0" applyNumberFormat="1" applyFont="1" applyFill="1" applyBorder="1" applyProtection="1">
      <protection hidden="1"/>
    </xf>
    <xf numFmtId="2" fontId="28" fillId="0" borderId="20" xfId="0" applyNumberFormat="1" applyFont="1" applyFill="1" applyBorder="1" applyProtection="1">
      <protection hidden="1"/>
    </xf>
    <xf numFmtId="164" fontId="29" fillId="0" borderId="4" xfId="0" applyNumberFormat="1" applyFont="1" applyFill="1" applyBorder="1" applyProtection="1">
      <protection hidden="1"/>
    </xf>
    <xf numFmtId="2" fontId="29" fillId="0" borderId="30" xfId="0" applyNumberFormat="1" applyFont="1" applyFill="1" applyBorder="1" applyProtection="1">
      <protection hidden="1"/>
    </xf>
    <xf numFmtId="2" fontId="29" fillId="0" borderId="5" xfId="0" applyNumberFormat="1" applyFont="1" applyFill="1" applyBorder="1" applyProtection="1">
      <protection hidden="1"/>
    </xf>
    <xf numFmtId="165" fontId="29" fillId="0" borderId="44" xfId="0" applyNumberFormat="1" applyFont="1" applyFill="1" applyBorder="1" applyProtection="1">
      <protection hidden="1"/>
    </xf>
    <xf numFmtId="165" fontId="29" fillId="0" borderId="30" xfId="0" applyNumberFormat="1" applyFont="1" applyFill="1" applyBorder="1" applyProtection="1">
      <protection hidden="1"/>
    </xf>
    <xf numFmtId="165" fontId="29" fillId="0" borderId="45" xfId="0" applyNumberFormat="1" applyFont="1" applyFill="1" applyBorder="1" applyProtection="1">
      <protection hidden="1"/>
    </xf>
    <xf numFmtId="165" fontId="29" fillId="0" borderId="5" xfId="0" applyNumberFormat="1" applyFont="1" applyFill="1" applyBorder="1" applyProtection="1">
      <protection hidden="1"/>
    </xf>
    <xf numFmtId="165" fontId="29" fillId="0" borderId="28" xfId="0" applyNumberFormat="1" applyFont="1" applyFill="1" applyBorder="1" applyProtection="1">
      <protection hidden="1"/>
    </xf>
    <xf numFmtId="0" fontId="29" fillId="0" borderId="0" xfId="0" applyFont="1" applyProtection="1">
      <protection hidden="1"/>
    </xf>
    <xf numFmtId="0" fontId="29" fillId="0" borderId="0" xfId="0" applyFont="1" applyFill="1" applyProtection="1">
      <protection hidden="1"/>
    </xf>
    <xf numFmtId="165" fontId="29" fillId="0" borderId="0" xfId="0" applyNumberFormat="1" applyFont="1" applyProtection="1">
      <protection hidden="1"/>
    </xf>
    <xf numFmtId="165" fontId="29" fillId="0" borderId="1" xfId="0" applyNumberFormat="1" applyFont="1" applyBorder="1" applyProtection="1">
      <protection hidden="1"/>
    </xf>
    <xf numFmtId="165" fontId="29" fillId="0" borderId="2" xfId="0" applyNumberFormat="1" applyFont="1" applyBorder="1" applyProtection="1">
      <protection hidden="1"/>
    </xf>
    <xf numFmtId="165" fontId="29" fillId="0" borderId="3" xfId="0" applyNumberFormat="1" applyFont="1" applyBorder="1" applyProtection="1">
      <protection hidden="1"/>
    </xf>
    <xf numFmtId="0" fontId="29" fillId="0" borderId="11" xfId="0" applyFont="1" applyBorder="1" applyProtection="1">
      <protection hidden="1"/>
    </xf>
    <xf numFmtId="0" fontId="29" fillId="0" borderId="0" xfId="0" applyFont="1" applyBorder="1" applyProtection="1">
      <protection hidden="1"/>
    </xf>
    <xf numFmtId="0" fontId="29" fillId="0" borderId="10" xfId="0" applyFont="1" applyBorder="1" applyProtection="1">
      <protection hidden="1"/>
    </xf>
    <xf numFmtId="0" fontId="29" fillId="0" borderId="11" xfId="0" applyFont="1" applyFill="1" applyBorder="1" applyProtection="1">
      <protection hidden="1"/>
    </xf>
    <xf numFmtId="2" fontId="29" fillId="0" borderId="10" xfId="0" applyNumberFormat="1" applyFont="1" applyFill="1" applyBorder="1" applyProtection="1">
      <protection hidden="1"/>
    </xf>
    <xf numFmtId="2" fontId="29" fillId="0" borderId="0" xfId="0" applyNumberFormat="1" applyFont="1" applyBorder="1" applyProtection="1">
      <protection hidden="1"/>
    </xf>
    <xf numFmtId="2" fontId="29" fillId="0" borderId="10" xfId="0" applyNumberFormat="1" applyFont="1" applyBorder="1" applyProtection="1">
      <protection hidden="1"/>
    </xf>
    <xf numFmtId="2" fontId="29" fillId="0" borderId="11" xfId="0" applyNumberFormat="1" applyFont="1" applyBorder="1" applyProtection="1">
      <protection hidden="1"/>
    </xf>
    <xf numFmtId="0" fontId="29" fillId="0" borderId="0" xfId="0" applyFont="1" applyFill="1" applyAlignment="1" applyProtection="1">
      <alignment vertical="top" wrapText="1"/>
      <protection hidden="1"/>
    </xf>
    <xf numFmtId="0" fontId="29" fillId="0" borderId="24" xfId="0" applyFont="1" applyBorder="1" applyProtection="1">
      <protection hidden="1"/>
    </xf>
    <xf numFmtId="0" fontId="29" fillId="0" borderId="17" xfId="0" applyFont="1" applyBorder="1" applyProtection="1">
      <protection hidden="1"/>
    </xf>
    <xf numFmtId="0" fontId="29" fillId="0" borderId="18" xfId="0" applyFont="1" applyBorder="1" applyProtection="1">
      <protection hidden="1"/>
    </xf>
    <xf numFmtId="0" fontId="29" fillId="0" borderId="16" xfId="0" applyFont="1" applyBorder="1" applyProtection="1">
      <protection hidden="1"/>
    </xf>
    <xf numFmtId="0" fontId="30" fillId="0" borderId="11" xfId="0" applyFont="1" applyBorder="1" applyProtection="1">
      <protection hidden="1"/>
    </xf>
    <xf numFmtId="0" fontId="30" fillId="0" borderId="0" xfId="0" applyFont="1" applyBorder="1" applyProtection="1">
      <protection hidden="1"/>
    </xf>
    <xf numFmtId="0" fontId="29" fillId="0" borderId="7" xfId="0" applyFont="1" applyBorder="1" applyProtection="1">
      <protection hidden="1"/>
    </xf>
    <xf numFmtId="0" fontId="29" fillId="0" borderId="9" xfId="0" applyFont="1" applyBorder="1" applyProtection="1">
      <protection hidden="1"/>
    </xf>
    <xf numFmtId="0" fontId="29" fillId="0" borderId="4" xfId="0" applyFont="1" applyBorder="1" applyProtection="1">
      <protection hidden="1"/>
    </xf>
    <xf numFmtId="0" fontId="29" fillId="0" borderId="5" xfId="0" applyFont="1" applyBorder="1" applyProtection="1">
      <protection hidden="1"/>
    </xf>
    <xf numFmtId="0" fontId="29" fillId="0" borderId="6" xfId="0" applyFont="1" applyBorder="1" applyProtection="1">
      <protection hidden="1"/>
    </xf>
    <xf numFmtId="0" fontId="0" fillId="0" borderId="0" xfId="0" applyFont="1" applyFill="1" applyBorder="1" applyAlignment="1">
      <alignment vertical="center"/>
    </xf>
    <xf numFmtId="0" fontId="0" fillId="0" borderId="0" xfId="0" applyFont="1" applyFill="1" applyBorder="1" applyAlignment="1"/>
    <xf numFmtId="1" fontId="14" fillId="13" borderId="23" xfId="1" applyNumberFormat="1" applyFont="1" applyFill="1" applyBorder="1" applyAlignment="1" applyProtection="1">
      <alignment vertical="center"/>
      <protection hidden="1"/>
    </xf>
    <xf numFmtId="1" fontId="14" fillId="13" borderId="14" xfId="1" applyNumberFormat="1" applyFont="1" applyFill="1" applyBorder="1" applyAlignment="1" applyProtection="1">
      <alignment vertical="center"/>
      <protection hidden="1"/>
    </xf>
    <xf numFmtId="1" fontId="14" fillId="13" borderId="5" xfId="1" applyNumberFormat="1" applyFont="1" applyFill="1" applyBorder="1" applyAlignment="1" applyProtection="1">
      <alignment vertical="center"/>
      <protection hidden="1"/>
    </xf>
    <xf numFmtId="0" fontId="20" fillId="23" borderId="23" xfId="3" applyFont="1" applyFill="1" applyBorder="1" applyAlignment="1" applyProtection="1">
      <alignment vertical="center"/>
      <protection hidden="1"/>
    </xf>
    <xf numFmtId="0" fontId="20" fillId="23" borderId="14" xfId="3" applyFont="1" applyFill="1" applyBorder="1" applyAlignment="1" applyProtection="1">
      <alignment vertical="center"/>
      <protection hidden="1"/>
    </xf>
    <xf numFmtId="0" fontId="16" fillId="17" borderId="5" xfId="3" applyFont="1" applyFill="1" applyBorder="1" applyAlignment="1" applyProtection="1">
      <alignment vertical="center"/>
      <protection hidden="1"/>
    </xf>
    <xf numFmtId="1" fontId="13" fillId="11" borderId="21" xfId="0" applyNumberFormat="1" applyFont="1" applyFill="1" applyBorder="1" applyAlignment="1" applyProtection="1">
      <alignment horizontal="center" vertical="center" wrapText="1"/>
      <protection hidden="1"/>
    </xf>
    <xf numFmtId="0" fontId="14" fillId="13" borderId="12" xfId="1" applyFont="1" applyFill="1" applyBorder="1" applyAlignment="1" applyProtection="1">
      <alignment vertical="center"/>
      <protection hidden="1"/>
    </xf>
    <xf numFmtId="0" fontId="14" fillId="13" borderId="13" xfId="1" applyFont="1" applyFill="1" applyBorder="1" applyAlignment="1" applyProtection="1">
      <alignment vertical="center"/>
      <protection hidden="1"/>
    </xf>
    <xf numFmtId="0" fontId="14" fillId="13" borderId="24" xfId="1" applyFont="1" applyFill="1" applyBorder="1" applyAlignment="1" applyProtection="1">
      <alignment vertical="center"/>
      <protection hidden="1"/>
    </xf>
    <xf numFmtId="0" fontId="14" fillId="13" borderId="25" xfId="1" applyFont="1" applyFill="1" applyBorder="1" applyAlignment="1" applyProtection="1">
      <alignment vertical="center"/>
      <protection hidden="1"/>
    </xf>
    <xf numFmtId="0" fontId="14" fillId="13" borderId="24" xfId="0" applyFont="1" applyFill="1" applyBorder="1" applyAlignment="1" applyProtection="1">
      <alignment vertical="center"/>
      <protection hidden="1"/>
    </xf>
    <xf numFmtId="0" fontId="14" fillId="13" borderId="25" xfId="0" quotePrefix="1" applyFont="1" applyFill="1" applyBorder="1" applyAlignment="1" applyProtection="1">
      <alignment vertical="center"/>
      <protection hidden="1"/>
    </xf>
    <xf numFmtId="0" fontId="14" fillId="13" borderId="4" xfId="0" applyFont="1" applyFill="1" applyBorder="1" applyAlignment="1" applyProtection="1">
      <alignment horizontal="left" wrapText="1"/>
      <protection hidden="1"/>
    </xf>
    <xf numFmtId="0" fontId="14" fillId="13" borderId="6" xfId="0" applyFont="1" applyFill="1" applyBorder="1" applyProtection="1">
      <protection hidden="1"/>
    </xf>
    <xf numFmtId="0" fontId="20" fillId="23" borderId="12" xfId="3" applyFont="1" applyFill="1" applyBorder="1" applyAlignment="1" applyProtection="1">
      <alignment vertical="center"/>
      <protection hidden="1"/>
    </xf>
    <xf numFmtId="0" fontId="20" fillId="23" borderId="13" xfId="3" applyFont="1" applyFill="1" applyBorder="1" applyAlignment="1" applyProtection="1">
      <alignment vertical="center"/>
      <protection hidden="1"/>
    </xf>
    <xf numFmtId="0" fontId="20" fillId="23" borderId="24" xfId="3" applyFont="1" applyFill="1" applyBorder="1" applyAlignment="1" applyProtection="1">
      <alignment vertical="center"/>
      <protection hidden="1"/>
    </xf>
    <xf numFmtId="0" fontId="20" fillId="23" borderId="25" xfId="3" applyFont="1" applyFill="1" applyBorder="1" applyAlignment="1" applyProtection="1">
      <alignment vertical="center"/>
      <protection hidden="1"/>
    </xf>
    <xf numFmtId="0" fontId="16" fillId="17" borderId="4" xfId="3" applyFont="1" applyFill="1" applyBorder="1" applyAlignment="1" applyProtection="1">
      <alignment vertical="center"/>
      <protection hidden="1"/>
    </xf>
    <xf numFmtId="0" fontId="16" fillId="17" borderId="6" xfId="3" applyFont="1" applyFill="1" applyBorder="1" applyAlignment="1" applyProtection="1">
      <alignment vertical="center"/>
      <protection hidden="1"/>
    </xf>
    <xf numFmtId="0" fontId="9" fillId="0" borderId="0" xfId="0" applyFont="1" applyFill="1" applyProtection="1">
      <protection hidden="1"/>
    </xf>
    <xf numFmtId="0" fontId="0" fillId="0" borderId="0" xfId="0" applyFont="1" applyProtection="1">
      <protection hidden="1"/>
    </xf>
    <xf numFmtId="0" fontId="9" fillId="0" borderId="0" xfId="0" applyFont="1" applyFill="1" applyBorder="1" applyAlignment="1" applyProtection="1">
      <alignment horizontal="left" vertical="center" wrapText="1"/>
      <protection hidden="1"/>
    </xf>
    <xf numFmtId="0" fontId="9" fillId="10" borderId="15" xfId="0" applyFont="1" applyFill="1" applyBorder="1" applyAlignment="1" applyProtection="1">
      <alignment vertical="center" wrapText="1"/>
      <protection hidden="1"/>
    </xf>
    <xf numFmtId="0" fontId="0" fillId="0" borderId="0" xfId="0" applyProtection="1">
      <protection hidden="1"/>
    </xf>
    <xf numFmtId="0" fontId="9" fillId="10" borderId="15" xfId="0" applyFont="1" applyFill="1" applyBorder="1" applyAlignment="1" applyProtection="1">
      <alignment horizontal="center" vertical="center" wrapText="1"/>
      <protection hidden="1"/>
    </xf>
    <xf numFmtId="0" fontId="13" fillId="0" borderId="15" xfId="0" applyFont="1" applyBorder="1" applyAlignment="1" applyProtection="1">
      <alignment vertical="center" wrapText="1"/>
      <protection hidden="1"/>
    </xf>
    <xf numFmtId="0" fontId="13" fillId="0" borderId="15" xfId="0" applyFont="1" applyBorder="1" applyAlignment="1" applyProtection="1">
      <alignment horizontal="center" vertical="center" wrapText="1"/>
      <protection hidden="1"/>
    </xf>
    <xf numFmtId="0" fontId="9" fillId="0" borderId="0" xfId="0" applyFont="1" applyProtection="1">
      <protection hidden="1"/>
    </xf>
    <xf numFmtId="0" fontId="13" fillId="0" borderId="21" xfId="0" applyFont="1" applyBorder="1" applyAlignment="1" applyProtection="1">
      <alignment vertical="center" wrapText="1"/>
      <protection hidden="1"/>
    </xf>
    <xf numFmtId="0" fontId="0" fillId="0" borderId="0" xfId="0" applyFont="1" applyBorder="1" applyProtection="1">
      <protection hidden="1"/>
    </xf>
    <xf numFmtId="0" fontId="26" fillId="0" borderId="0" xfId="0" applyFont="1" applyProtection="1">
      <protection hidden="1"/>
    </xf>
    <xf numFmtId="0" fontId="27" fillId="0" borderId="0" xfId="0" applyFont="1" applyProtection="1">
      <protection hidden="1"/>
    </xf>
    <xf numFmtId="1" fontId="26" fillId="0" borderId="0" xfId="0" applyNumberFormat="1" applyFont="1" applyFill="1" applyProtection="1">
      <protection hidden="1"/>
    </xf>
    <xf numFmtId="0" fontId="7" fillId="0" borderId="0" xfId="0" applyFont="1" applyFill="1" applyProtection="1">
      <protection hidden="1"/>
    </xf>
    <xf numFmtId="0" fontId="26" fillId="0" borderId="0" xfId="0" applyFont="1" applyFill="1" applyProtection="1">
      <protection hidden="1"/>
    </xf>
    <xf numFmtId="0" fontId="7" fillId="0" borderId="0" xfId="1" applyFont="1" applyFill="1" applyBorder="1" applyAlignment="1" applyProtection="1">
      <alignment vertical="center"/>
      <protection hidden="1"/>
    </xf>
    <xf numFmtId="1" fontId="13" fillId="0" borderId="0" xfId="0" applyNumberFormat="1" applyFont="1" applyFill="1" applyBorder="1" applyAlignment="1" applyProtection="1">
      <alignment horizontal="center" vertical="center" wrapText="1"/>
      <protection hidden="1"/>
    </xf>
    <xf numFmtId="0" fontId="4" fillId="0" borderId="40" xfId="0" applyFont="1" applyFill="1" applyBorder="1" applyAlignment="1" applyProtection="1">
      <alignment horizontal="left" vertical="center"/>
      <protection hidden="1"/>
    </xf>
    <xf numFmtId="0" fontId="4" fillId="0" borderId="37" xfId="0" applyFont="1" applyFill="1" applyBorder="1" applyAlignment="1" applyProtection="1">
      <alignment horizontal="center" vertical="center"/>
      <protection hidden="1"/>
    </xf>
    <xf numFmtId="0" fontId="4" fillId="0" borderId="46" xfId="0" applyFont="1" applyFill="1" applyBorder="1" applyAlignment="1" applyProtection="1">
      <alignment horizontal="center" vertical="center"/>
      <protection hidden="1"/>
    </xf>
    <xf numFmtId="0" fontId="9" fillId="0" borderId="0" xfId="0" applyFont="1" applyFill="1" applyBorder="1" applyProtection="1">
      <protection hidden="1"/>
    </xf>
    <xf numFmtId="0" fontId="4" fillId="0" borderId="0" xfId="0" applyFont="1" applyFill="1" applyBorder="1" applyAlignment="1" applyProtection="1">
      <alignment horizontal="center" vertical="center"/>
      <protection hidden="1"/>
    </xf>
    <xf numFmtId="0" fontId="14" fillId="0" borderId="0" xfId="1" applyFont="1" applyFill="1" applyBorder="1" applyAlignment="1" applyProtection="1">
      <alignment vertical="center"/>
      <protection hidden="1"/>
    </xf>
    <xf numFmtId="0" fontId="14" fillId="0" borderId="0" xfId="0" applyFont="1" applyFill="1" applyBorder="1" applyAlignment="1" applyProtection="1">
      <alignment vertical="center"/>
      <protection hidden="1"/>
    </xf>
    <xf numFmtId="0" fontId="3" fillId="0" borderId="0" xfId="3" applyFill="1" applyBorder="1" applyAlignment="1" applyProtection="1">
      <alignment vertical="center"/>
      <protection hidden="1"/>
    </xf>
    <xf numFmtId="0" fontId="0" fillId="0" borderId="0" xfId="0" applyFill="1" applyBorder="1" applyAlignment="1" applyProtection="1">
      <alignment horizontal="left" wrapText="1"/>
      <protection hidden="1"/>
    </xf>
    <xf numFmtId="0" fontId="0" fillId="0" borderId="0" xfId="0" applyFill="1" applyBorder="1" applyAlignment="1" applyProtection="1">
      <alignment horizontal="right"/>
      <protection hidden="1"/>
    </xf>
    <xf numFmtId="0" fontId="0" fillId="0" borderId="0" xfId="0" applyFill="1" applyBorder="1" applyProtection="1">
      <protection hidden="1"/>
    </xf>
    <xf numFmtId="0" fontId="0" fillId="0" borderId="0" xfId="0" applyFont="1" applyFill="1" applyBorder="1" applyProtection="1">
      <protection hidden="1"/>
    </xf>
    <xf numFmtId="0" fontId="4" fillId="0" borderId="0" xfId="0" applyFont="1" applyFill="1" applyBorder="1" applyAlignment="1" applyProtection="1">
      <alignment horizontal="left"/>
      <protection hidden="1"/>
    </xf>
    <xf numFmtId="0" fontId="4" fillId="18" borderId="1" xfId="0" applyFont="1" applyFill="1" applyBorder="1" applyAlignment="1" applyProtection="1">
      <alignment horizontal="left"/>
      <protection hidden="1"/>
    </xf>
    <xf numFmtId="0" fontId="0" fillId="18" borderId="2" xfId="0" applyFill="1" applyBorder="1" applyProtection="1">
      <protection hidden="1"/>
    </xf>
    <xf numFmtId="0" fontId="0" fillId="18" borderId="3" xfId="0" applyFill="1" applyBorder="1" applyProtection="1">
      <protection hidden="1"/>
    </xf>
    <xf numFmtId="0" fontId="4" fillId="18" borderId="11" xfId="0" applyFont="1" applyFill="1" applyBorder="1" applyAlignment="1" applyProtection="1">
      <alignment horizontal="left"/>
      <protection hidden="1"/>
    </xf>
    <xf numFmtId="0" fontId="0" fillId="18" borderId="0" xfId="0" applyFill="1" applyBorder="1" applyProtection="1">
      <protection hidden="1"/>
    </xf>
    <xf numFmtId="0" fontId="0" fillId="18" borderId="10" xfId="0" applyFill="1" applyBorder="1" applyProtection="1">
      <protection hidden="1"/>
    </xf>
    <xf numFmtId="0" fontId="0" fillId="18" borderId="4" xfId="0" applyFill="1" applyBorder="1" applyAlignment="1" applyProtection="1">
      <alignment wrapText="1"/>
      <protection hidden="1"/>
    </xf>
    <xf numFmtId="0" fontId="0" fillId="18" borderId="5" xfId="0" applyFill="1" applyBorder="1" applyAlignment="1" applyProtection="1">
      <alignment wrapText="1"/>
      <protection hidden="1"/>
    </xf>
    <xf numFmtId="0" fontId="0" fillId="18" borderId="6" xfId="0" applyFill="1" applyBorder="1" applyAlignment="1" applyProtection="1">
      <alignment wrapText="1"/>
      <protection hidden="1"/>
    </xf>
    <xf numFmtId="1" fontId="13" fillId="11" borderId="29" xfId="0" applyNumberFormat="1" applyFont="1" applyFill="1" applyBorder="1" applyAlignment="1" applyProtection="1">
      <alignment horizontal="center" vertical="center" wrapText="1"/>
      <protection hidden="1"/>
    </xf>
    <xf numFmtId="1" fontId="13" fillId="11" borderId="15" xfId="0" applyNumberFormat="1" applyFont="1" applyFill="1" applyBorder="1" applyAlignment="1" applyProtection="1">
      <alignment horizontal="center" vertical="center" wrapText="1"/>
      <protection hidden="1"/>
    </xf>
    <xf numFmtId="0" fontId="9" fillId="0" borderId="0" xfId="0" applyFont="1" applyBorder="1" applyProtection="1">
      <protection hidden="1"/>
    </xf>
    <xf numFmtId="0" fontId="13" fillId="0" borderId="0" xfId="0" applyFont="1" applyBorder="1" applyAlignment="1" applyProtection="1">
      <alignment vertical="center" wrapText="1"/>
      <protection hidden="1"/>
    </xf>
    <xf numFmtId="0" fontId="13" fillId="0" borderId="0" xfId="0" applyFont="1" applyBorder="1" applyAlignment="1" applyProtection="1">
      <alignment horizontal="center" vertical="center" wrapText="1"/>
      <protection hidden="1"/>
    </xf>
    <xf numFmtId="0" fontId="13" fillId="0" borderId="19" xfId="0" applyFont="1" applyBorder="1" applyAlignment="1" applyProtection="1">
      <alignment vertical="center" wrapText="1"/>
      <protection hidden="1"/>
    </xf>
    <xf numFmtId="0" fontId="13" fillId="0" borderId="19" xfId="0" applyFont="1" applyBorder="1" applyAlignment="1" applyProtection="1">
      <alignment horizontal="center" vertical="center" wrapText="1"/>
      <protection hidden="1"/>
    </xf>
    <xf numFmtId="0" fontId="13" fillId="0" borderId="22" xfId="0" applyFont="1" applyBorder="1" applyAlignment="1" applyProtection="1">
      <alignment vertical="center" wrapText="1"/>
      <protection hidden="1"/>
    </xf>
    <xf numFmtId="0" fontId="13" fillId="0" borderId="22" xfId="0" applyFont="1" applyBorder="1" applyAlignment="1" applyProtection="1">
      <alignment horizontal="center" vertical="center" wrapText="1"/>
      <protection hidden="1"/>
    </xf>
    <xf numFmtId="0" fontId="13" fillId="0" borderId="29" xfId="0" applyFont="1" applyBorder="1" applyAlignment="1" applyProtection="1">
      <alignment vertical="center" wrapText="1"/>
      <protection hidden="1"/>
    </xf>
    <xf numFmtId="0" fontId="13" fillId="0" borderId="0" xfId="0" applyFont="1" applyFill="1" applyBorder="1" applyAlignment="1" applyProtection="1">
      <alignment vertical="center" wrapText="1"/>
      <protection hidden="1"/>
    </xf>
    <xf numFmtId="2" fontId="13" fillId="0" borderId="0" xfId="0" applyNumberFormat="1" applyFont="1" applyFill="1" applyBorder="1" applyAlignment="1" applyProtection="1">
      <alignment horizontal="center" vertical="center" wrapText="1"/>
      <protection hidden="1"/>
    </xf>
    <xf numFmtId="0" fontId="26" fillId="0" borderId="0" xfId="0" applyFont="1" applyFill="1" applyBorder="1" applyProtection="1">
      <protection hidden="1"/>
    </xf>
    <xf numFmtId="0" fontId="0" fillId="0" borderId="0" xfId="0" applyFill="1" applyProtection="1">
      <protection hidden="1"/>
    </xf>
    <xf numFmtId="0" fontId="4" fillId="0" borderId="0" xfId="0" applyFont="1" applyFill="1" applyBorder="1" applyAlignment="1" applyProtection="1">
      <alignment horizontal="left" vertical="center"/>
      <protection hidden="1"/>
    </xf>
    <xf numFmtId="0" fontId="13" fillId="0" borderId="15" xfId="0" applyFont="1" applyFill="1" applyBorder="1" applyAlignment="1" applyProtection="1">
      <alignment vertical="center" wrapText="1"/>
      <protection hidden="1"/>
    </xf>
    <xf numFmtId="0" fontId="13" fillId="0" borderId="15" xfId="0" applyFont="1" applyFill="1" applyBorder="1" applyAlignment="1" applyProtection="1">
      <alignment horizontal="center" vertical="center" wrapText="1"/>
      <protection hidden="1"/>
    </xf>
    <xf numFmtId="0" fontId="13" fillId="0" borderId="21" xfId="0" applyFont="1" applyFill="1" applyBorder="1" applyAlignment="1" applyProtection="1">
      <alignment vertical="center" wrapText="1"/>
      <protection hidden="1"/>
    </xf>
    <xf numFmtId="1" fontId="9" fillId="0" borderId="0" xfId="0" applyNumberFormat="1" applyFont="1" applyProtection="1">
      <protection hidden="1"/>
    </xf>
    <xf numFmtId="0" fontId="8" fillId="0" borderId="0"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protection hidden="1"/>
    </xf>
    <xf numFmtId="1" fontId="12" fillId="0" borderId="0" xfId="0" applyNumberFormat="1" applyFont="1" applyFill="1" applyBorder="1" applyAlignment="1" applyProtection="1">
      <alignment horizontal="center" vertical="center" wrapText="1"/>
      <protection hidden="1"/>
    </xf>
    <xf numFmtId="0" fontId="0" fillId="0" borderId="0" xfId="0" applyFont="1" applyFill="1" applyProtection="1">
      <protection hidden="1"/>
    </xf>
    <xf numFmtId="1" fontId="9" fillId="0" borderId="0" xfId="0" applyNumberFormat="1" applyFont="1" applyFill="1" applyProtection="1">
      <protection hidden="1"/>
    </xf>
    <xf numFmtId="0" fontId="27" fillId="0" borderId="0" xfId="0" applyFont="1" applyFill="1" applyProtection="1">
      <protection hidden="1"/>
    </xf>
    <xf numFmtId="0" fontId="0" fillId="0" borderId="8" xfId="0" applyBorder="1" applyProtection="1">
      <protection hidden="1"/>
    </xf>
    <xf numFmtId="165" fontId="0" fillId="0" borderId="8" xfId="0" applyNumberFormat="1" applyFont="1" applyFill="1" applyBorder="1" applyProtection="1">
      <protection hidden="1"/>
    </xf>
    <xf numFmtId="0" fontId="0" fillId="0" borderId="8" xfId="0" applyFill="1" applyBorder="1" applyProtection="1">
      <protection hidden="1"/>
    </xf>
    <xf numFmtId="0" fontId="0" fillId="0" borderId="9" xfId="0" applyBorder="1" applyProtection="1">
      <protection hidden="1"/>
    </xf>
    <xf numFmtId="0" fontId="17" fillId="15" borderId="0" xfId="0" applyFont="1" applyFill="1" applyBorder="1" applyAlignment="1" applyProtection="1">
      <alignment horizontal="center" vertical="center" wrapText="1"/>
      <protection hidden="1"/>
    </xf>
    <xf numFmtId="0" fontId="0" fillId="0" borderId="1" xfId="0" applyFont="1" applyBorder="1" applyAlignment="1" applyProtection="1">
      <alignment horizontal="left" vertical="center"/>
      <protection hidden="1"/>
    </xf>
    <xf numFmtId="0" fontId="17" fillId="0" borderId="2" xfId="0" applyFont="1" applyBorder="1" applyAlignment="1" applyProtection="1">
      <alignment horizontal="center" vertical="center" wrapText="1"/>
      <protection hidden="1"/>
    </xf>
    <xf numFmtId="0" fontId="0" fillId="0" borderId="2" xfId="0" applyBorder="1" applyProtection="1">
      <protection hidden="1"/>
    </xf>
    <xf numFmtId="0" fontId="0" fillId="0" borderId="2" xfId="0" applyBorder="1" applyAlignment="1" applyProtection="1">
      <alignment horizontal="right"/>
      <protection hidden="1"/>
    </xf>
    <xf numFmtId="0" fontId="0" fillId="0" borderId="3" xfId="0" applyBorder="1" applyProtection="1">
      <protection hidden="1"/>
    </xf>
    <xf numFmtId="0" fontId="0" fillId="15" borderId="0" xfId="0" applyFill="1" applyProtection="1">
      <protection hidden="1"/>
    </xf>
    <xf numFmtId="0" fontId="0" fillId="26" borderId="7" xfId="0" applyFill="1" applyBorder="1" applyAlignment="1" applyProtection="1">
      <alignment vertical="center"/>
      <protection hidden="1"/>
    </xf>
    <xf numFmtId="0" fontId="0" fillId="26" borderId="8" xfId="0" applyFill="1" applyBorder="1" applyAlignment="1" applyProtection="1">
      <alignment horizontal="center" vertical="center"/>
      <protection hidden="1"/>
    </xf>
    <xf numFmtId="0" fontId="0" fillId="26" borderId="26" xfId="0" applyFill="1" applyBorder="1" applyAlignment="1" applyProtection="1">
      <alignment horizontal="center" vertical="center" wrapText="1"/>
      <protection hidden="1"/>
    </xf>
    <xf numFmtId="0" fontId="4" fillId="26" borderId="40" xfId="0" applyFont="1" applyFill="1" applyBorder="1" applyAlignment="1" applyProtection="1">
      <alignment horizontal="left" vertical="center"/>
      <protection hidden="1"/>
    </xf>
    <xf numFmtId="0" fontId="4" fillId="26" borderId="37" xfId="0" applyFont="1" applyFill="1" applyBorder="1" applyAlignment="1" applyProtection="1">
      <alignment horizontal="center" vertical="center"/>
      <protection hidden="1"/>
    </xf>
    <xf numFmtId="0" fontId="4" fillId="26" borderId="46" xfId="0" applyFont="1" applyFill="1" applyBorder="1" applyAlignment="1" applyProtection="1">
      <alignment horizontal="center" wrapText="1"/>
      <protection hidden="1"/>
    </xf>
    <xf numFmtId="0" fontId="14" fillId="11" borderId="31" xfId="1" applyFont="1" applyFill="1" applyBorder="1" applyAlignment="1" applyProtection="1">
      <alignment vertical="center"/>
      <protection hidden="1"/>
    </xf>
    <xf numFmtId="1" fontId="18" fillId="22" borderId="14" xfId="1" applyNumberFormat="1" applyFont="1" applyFill="1" applyBorder="1" applyAlignment="1" applyProtection="1">
      <alignment vertical="center"/>
      <protection hidden="1"/>
    </xf>
    <xf numFmtId="0" fontId="14" fillId="11" borderId="27" xfId="1" applyFont="1" applyFill="1" applyBorder="1" applyAlignment="1" applyProtection="1">
      <alignment vertical="center"/>
      <protection hidden="1"/>
    </xf>
    <xf numFmtId="0" fontId="14" fillId="11" borderId="27" xfId="0" applyFont="1" applyFill="1" applyBorder="1" applyAlignment="1" applyProtection="1">
      <alignment vertical="center" wrapText="1"/>
      <protection hidden="1"/>
    </xf>
    <xf numFmtId="0" fontId="14" fillId="11" borderId="24" xfId="1" applyFont="1" applyFill="1" applyBorder="1" applyAlignment="1" applyProtection="1">
      <alignment vertical="center"/>
      <protection hidden="1"/>
    </xf>
    <xf numFmtId="1" fontId="18" fillId="22" borderId="17" xfId="1" applyNumberFormat="1" applyFont="1" applyFill="1" applyBorder="1" applyAlignment="1" applyProtection="1">
      <alignment vertical="center"/>
      <protection hidden="1"/>
    </xf>
    <xf numFmtId="0" fontId="14" fillId="11" borderId="25" xfId="1" applyFont="1" applyFill="1" applyBorder="1" applyAlignment="1" applyProtection="1">
      <alignment vertical="center"/>
      <protection hidden="1"/>
    </xf>
    <xf numFmtId="0" fontId="14" fillId="11" borderId="24" xfId="0" applyFont="1" applyFill="1" applyBorder="1" applyAlignment="1" applyProtection="1">
      <alignment vertical="center"/>
      <protection hidden="1"/>
    </xf>
    <xf numFmtId="1" fontId="18" fillId="22" borderId="17" xfId="0" applyNumberFormat="1" applyFont="1" applyFill="1" applyBorder="1" applyAlignment="1" applyProtection="1">
      <alignment vertical="center"/>
      <protection hidden="1"/>
    </xf>
    <xf numFmtId="0" fontId="14" fillId="11" borderId="25" xfId="0" quotePrefix="1" applyFont="1" applyFill="1" applyBorder="1" applyAlignment="1" applyProtection="1">
      <alignment vertical="center"/>
      <protection hidden="1"/>
    </xf>
    <xf numFmtId="0" fontId="14" fillId="11" borderId="25" xfId="0" applyFont="1" applyFill="1" applyBorder="1" applyAlignment="1" applyProtection="1">
      <alignment vertical="center" wrapText="1"/>
      <protection hidden="1"/>
    </xf>
    <xf numFmtId="0" fontId="14" fillId="11" borderId="4" xfId="0" applyFont="1" applyFill="1" applyBorder="1" applyAlignment="1" applyProtection="1">
      <alignment horizontal="left" wrapText="1"/>
      <protection hidden="1"/>
    </xf>
    <xf numFmtId="1" fontId="18" fillId="22" borderId="5" xfId="0" applyNumberFormat="1" applyFont="1" applyFill="1" applyBorder="1" applyAlignment="1" applyProtection="1">
      <alignment horizontal="right"/>
      <protection hidden="1"/>
    </xf>
    <xf numFmtId="0" fontId="14" fillId="11" borderId="6" xfId="0" applyFont="1" applyFill="1" applyBorder="1" applyProtection="1">
      <protection hidden="1"/>
    </xf>
    <xf numFmtId="0" fontId="14" fillId="11" borderId="6" xfId="0" applyFont="1" applyFill="1" applyBorder="1" applyAlignment="1" applyProtection="1">
      <alignment vertical="center" wrapText="1"/>
      <protection hidden="1"/>
    </xf>
    <xf numFmtId="0" fontId="20" fillId="12" borderId="31" xfId="3" applyFont="1" applyFill="1" applyBorder="1" applyAlignment="1" applyProtection="1">
      <alignment vertical="center"/>
      <protection hidden="1"/>
    </xf>
    <xf numFmtId="0" fontId="19" fillId="14" borderId="14" xfId="3" applyFont="1" applyFill="1" applyBorder="1" applyAlignment="1" applyProtection="1">
      <alignment vertical="center"/>
      <protection hidden="1"/>
    </xf>
    <xf numFmtId="0" fontId="20" fillId="12" borderId="47" xfId="3" applyFont="1" applyFill="1" applyBorder="1" applyAlignment="1" applyProtection="1">
      <alignment vertical="center"/>
      <protection hidden="1"/>
    </xf>
    <xf numFmtId="0" fontId="20" fillId="12" borderId="27" xfId="0" applyFont="1" applyFill="1" applyBorder="1" applyAlignment="1" applyProtection="1">
      <alignment horizontal="left" vertical="center" wrapText="1"/>
      <protection hidden="1"/>
    </xf>
    <xf numFmtId="0" fontId="20" fillId="12" borderId="24" xfId="3" applyFont="1" applyFill="1" applyBorder="1" applyAlignment="1" applyProtection="1">
      <alignment vertical="center"/>
      <protection hidden="1"/>
    </xf>
    <xf numFmtId="0" fontId="19" fillId="14" borderId="17" xfId="3" applyFont="1" applyFill="1" applyBorder="1" applyAlignment="1" applyProtection="1">
      <alignment vertical="center"/>
      <protection hidden="1"/>
    </xf>
    <xf numFmtId="0" fontId="20" fillId="12" borderId="18" xfId="3" applyFont="1" applyFill="1" applyBorder="1" applyAlignment="1" applyProtection="1">
      <alignment vertical="center"/>
      <protection hidden="1"/>
    </xf>
    <xf numFmtId="0" fontId="20" fillId="12" borderId="25" xfId="0" applyFont="1" applyFill="1" applyBorder="1" applyAlignment="1" applyProtection="1">
      <alignment horizontal="left" vertical="center" wrapText="1"/>
      <protection hidden="1"/>
    </xf>
    <xf numFmtId="0" fontId="24" fillId="17" borderId="5" xfId="3" applyFont="1" applyFill="1" applyBorder="1" applyAlignment="1" applyProtection="1">
      <alignment vertical="center"/>
      <protection hidden="1"/>
    </xf>
    <xf numFmtId="0" fontId="16" fillId="17" borderId="28" xfId="3" applyFont="1" applyFill="1" applyBorder="1" applyAlignment="1" applyProtection="1">
      <alignment vertical="center"/>
      <protection hidden="1"/>
    </xf>
    <xf numFmtId="0" fontId="16" fillId="17" borderId="6" xfId="0" applyFont="1" applyFill="1" applyBorder="1" applyAlignment="1" applyProtection="1">
      <alignment horizontal="left" vertical="center" wrapText="1"/>
      <protection hidden="1"/>
    </xf>
    <xf numFmtId="0" fontId="4" fillId="5" borderId="7" xfId="0" applyFont="1" applyFill="1" applyBorder="1" applyAlignment="1" applyProtection="1">
      <alignment horizontal="left" vertical="center"/>
      <protection hidden="1"/>
    </xf>
    <xf numFmtId="0" fontId="4" fillId="5" borderId="8" xfId="0" applyFont="1" applyFill="1" applyBorder="1" applyAlignment="1" applyProtection="1">
      <alignment horizontal="center" vertical="center"/>
      <protection hidden="1"/>
    </xf>
    <xf numFmtId="0" fontId="4" fillId="5" borderId="9" xfId="0" applyFont="1" applyFill="1" applyBorder="1" applyAlignment="1" applyProtection="1">
      <alignment horizontal="center" wrapText="1"/>
      <protection hidden="1"/>
    </xf>
    <xf numFmtId="0" fontId="0" fillId="17" borderId="31" xfId="0" applyFont="1" applyFill="1" applyBorder="1" applyProtection="1">
      <protection hidden="1"/>
    </xf>
    <xf numFmtId="0" fontId="0" fillId="17" borderId="14" xfId="2" applyFont="1" applyFill="1" applyBorder="1" applyProtection="1">
      <protection hidden="1"/>
    </xf>
    <xf numFmtId="0" fontId="0" fillId="17" borderId="14" xfId="0" applyFont="1" applyFill="1" applyBorder="1" applyAlignment="1" applyProtection="1">
      <alignment vertical="center"/>
      <protection hidden="1"/>
    </xf>
    <xf numFmtId="0" fontId="0" fillId="17" borderId="27" xfId="0" applyFont="1" applyFill="1" applyBorder="1" applyProtection="1">
      <protection hidden="1"/>
    </xf>
    <xf numFmtId="0" fontId="0" fillId="17" borderId="24" xfId="0" applyFont="1" applyFill="1" applyBorder="1" applyProtection="1">
      <protection hidden="1"/>
    </xf>
    <xf numFmtId="0" fontId="0" fillId="17" borderId="17" xfId="2" applyFont="1" applyFill="1" applyBorder="1" applyProtection="1">
      <protection hidden="1"/>
    </xf>
    <xf numFmtId="0" fontId="0" fillId="17" borderId="17" xfId="0" applyFont="1" applyFill="1" applyBorder="1" applyAlignment="1" applyProtection="1">
      <alignment vertical="center"/>
      <protection hidden="1"/>
    </xf>
    <xf numFmtId="0" fontId="0" fillId="17" borderId="25" xfId="0" applyFont="1" applyFill="1" applyBorder="1" applyProtection="1">
      <protection hidden="1"/>
    </xf>
    <xf numFmtId="0" fontId="0" fillId="17" borderId="32" xfId="0" applyFont="1" applyFill="1" applyBorder="1" applyProtection="1">
      <protection hidden="1"/>
    </xf>
    <xf numFmtId="0" fontId="0" fillId="17" borderId="22" xfId="2" applyFont="1" applyFill="1" applyBorder="1" applyProtection="1">
      <protection hidden="1"/>
    </xf>
    <xf numFmtId="0" fontId="0" fillId="17" borderId="22" xfId="0" applyFont="1" applyFill="1" applyBorder="1" applyProtection="1">
      <protection hidden="1"/>
    </xf>
    <xf numFmtId="0" fontId="0" fillId="17" borderId="33" xfId="0" applyFont="1" applyFill="1" applyBorder="1" applyAlignment="1" applyProtection="1">
      <alignment wrapText="1"/>
      <protection hidden="1"/>
    </xf>
    <xf numFmtId="0" fontId="0" fillId="17" borderId="23" xfId="0" applyFill="1" applyBorder="1" applyAlignment="1" applyProtection="1">
      <alignment vertical="center"/>
      <protection hidden="1"/>
    </xf>
    <xf numFmtId="0" fontId="0" fillId="17" borderId="23" xfId="0" applyFill="1" applyBorder="1" applyAlignment="1" applyProtection="1">
      <alignment wrapText="1"/>
      <protection hidden="1"/>
    </xf>
    <xf numFmtId="0" fontId="0" fillId="17" borderId="17" xfId="0" applyFill="1" applyBorder="1" applyAlignment="1" applyProtection="1">
      <alignment vertical="center"/>
      <protection hidden="1"/>
    </xf>
    <xf numFmtId="0" fontId="0" fillId="17" borderId="17" xfId="0" applyFill="1" applyBorder="1" applyAlignment="1" applyProtection="1">
      <alignment wrapText="1"/>
      <protection hidden="1"/>
    </xf>
    <xf numFmtId="0" fontId="0" fillId="17" borderId="31" xfId="0" applyFill="1" applyBorder="1" applyAlignment="1" applyProtection="1">
      <alignment vertical="center"/>
      <protection hidden="1"/>
    </xf>
    <xf numFmtId="0" fontId="0" fillId="17" borderId="14" xfId="0" applyFill="1" applyBorder="1" applyAlignment="1" applyProtection="1">
      <alignment vertical="center"/>
      <protection hidden="1"/>
    </xf>
    <xf numFmtId="0" fontId="0" fillId="17" borderId="27" xfId="0" applyFill="1" applyBorder="1" applyAlignment="1" applyProtection="1">
      <alignment wrapText="1"/>
      <protection hidden="1"/>
    </xf>
    <xf numFmtId="0" fontId="0" fillId="17" borderId="11" xfId="0" applyFill="1" applyBorder="1" applyAlignment="1" applyProtection="1">
      <alignment vertical="center"/>
      <protection hidden="1"/>
    </xf>
    <xf numFmtId="0" fontId="0" fillId="17" borderId="0" xfId="0" applyFill="1" applyAlignment="1" applyProtection="1">
      <alignment vertical="center"/>
      <protection hidden="1"/>
    </xf>
    <xf numFmtId="0" fontId="0" fillId="17" borderId="10" xfId="0" applyFill="1" applyBorder="1" applyAlignment="1" applyProtection="1">
      <alignment wrapText="1"/>
      <protection hidden="1"/>
    </xf>
    <xf numFmtId="0" fontId="0" fillId="17" borderId="24" xfId="0" applyFill="1" applyBorder="1" applyAlignment="1" applyProtection="1">
      <alignment vertical="center"/>
      <protection hidden="1"/>
    </xf>
    <xf numFmtId="0" fontId="0" fillId="17" borderId="25" xfId="0" applyFill="1" applyBorder="1" applyAlignment="1" applyProtection="1">
      <alignment wrapText="1"/>
      <protection hidden="1"/>
    </xf>
    <xf numFmtId="0" fontId="4" fillId="5" borderId="7" xfId="0" applyFont="1" applyFill="1" applyBorder="1" applyAlignment="1" applyProtection="1">
      <alignment vertical="center"/>
      <protection hidden="1"/>
    </xf>
    <xf numFmtId="0" fontId="4" fillId="5" borderId="8" xfId="0" applyFont="1" applyFill="1" applyBorder="1" applyAlignment="1" applyProtection="1">
      <alignment vertical="center"/>
      <protection hidden="1"/>
    </xf>
    <xf numFmtId="0" fontId="4" fillId="5" borderId="9" xfId="0" applyFont="1" applyFill="1" applyBorder="1" applyAlignment="1" applyProtection="1">
      <alignment wrapText="1"/>
      <protection hidden="1"/>
    </xf>
    <xf numFmtId="11" fontId="0" fillId="17" borderId="17" xfId="0" applyNumberFormat="1" applyFill="1" applyBorder="1" applyAlignment="1" applyProtection="1">
      <alignment vertical="center"/>
      <protection hidden="1"/>
    </xf>
    <xf numFmtId="11" fontId="0" fillId="17" borderId="0" xfId="0" applyNumberFormat="1" applyFill="1" applyAlignment="1" applyProtection="1">
      <alignment vertical="center"/>
      <protection hidden="1"/>
    </xf>
    <xf numFmtId="0" fontId="0" fillId="17" borderId="4" xfId="0" applyFill="1" applyBorder="1" applyAlignment="1" applyProtection="1">
      <alignment vertical="center"/>
      <protection hidden="1"/>
    </xf>
    <xf numFmtId="0" fontId="4" fillId="17" borderId="5" xfId="0" applyFont="1" applyFill="1" applyBorder="1" applyAlignment="1" applyProtection="1">
      <alignment vertical="center"/>
      <protection hidden="1"/>
    </xf>
    <xf numFmtId="0" fontId="0" fillId="17" borderId="5" xfId="0" applyFill="1" applyBorder="1" applyAlignment="1" applyProtection="1">
      <alignment vertical="center"/>
      <protection hidden="1"/>
    </xf>
    <xf numFmtId="0" fontId="0" fillId="17" borderId="6" xfId="0" applyFill="1" applyBorder="1" applyAlignment="1" applyProtection="1">
      <alignment wrapText="1"/>
      <protection hidden="1"/>
    </xf>
    <xf numFmtId="0" fontId="0" fillId="0" borderId="0" xfId="0" applyAlignment="1" applyProtection="1">
      <alignment vertical="center"/>
      <protection hidden="1"/>
    </xf>
    <xf numFmtId="0" fontId="0" fillId="0" borderId="0" xfId="0" applyAlignment="1" applyProtection="1">
      <alignment wrapText="1"/>
      <protection hidden="1"/>
    </xf>
    <xf numFmtId="0" fontId="0" fillId="0" borderId="0" xfId="0" applyAlignment="1" applyProtection="1">
      <alignment horizontal="left"/>
      <protection hidden="1"/>
    </xf>
    <xf numFmtId="0" fontId="0" fillId="0" borderId="0" xfId="0" applyBorder="1" applyAlignment="1" applyProtection="1">
      <alignment horizontal="center"/>
      <protection hidden="1"/>
    </xf>
    <xf numFmtId="0" fontId="0" fillId="0" borderId="0" xfId="0" applyFill="1" applyBorder="1" applyAlignment="1" applyProtection="1">
      <alignment horizontal="center"/>
      <protection hidden="1"/>
    </xf>
    <xf numFmtId="0" fontId="16" fillId="0" borderId="0" xfId="0" applyFont="1" applyBorder="1" applyAlignment="1" applyProtection="1">
      <alignment horizontal="center"/>
      <protection hidden="1"/>
    </xf>
    <xf numFmtId="0" fontId="16" fillId="0" borderId="0" xfId="0" applyFont="1" applyAlignment="1" applyProtection="1">
      <alignment horizontal="left" vertical="top" wrapText="1"/>
      <protection hidden="1"/>
    </xf>
    <xf numFmtId="0" fontId="0" fillId="0" borderId="52" xfId="0" applyBorder="1" applyProtection="1">
      <protection hidden="1"/>
    </xf>
    <xf numFmtId="0" fontId="0" fillId="0" borderId="0" xfId="0" applyBorder="1" applyAlignment="1" applyProtection="1">
      <alignment horizontal="left"/>
      <protection hidden="1"/>
    </xf>
    <xf numFmtId="0" fontId="0" fillId="0" borderId="0" xfId="0" applyBorder="1" applyProtection="1">
      <protection hidden="1"/>
    </xf>
    <xf numFmtId="0" fontId="0" fillId="0" borderId="39" xfId="0" applyBorder="1" applyAlignment="1" applyProtection="1">
      <alignment wrapText="1"/>
      <protection hidden="1"/>
    </xf>
    <xf numFmtId="49" fontId="0" fillId="0" borderId="0" xfId="0" applyNumberFormat="1" applyBorder="1" applyAlignment="1" applyProtection="1">
      <alignment horizontal="left"/>
      <protection hidden="1"/>
    </xf>
    <xf numFmtId="0" fontId="0" fillId="0" borderId="39" xfId="0" applyFill="1" applyBorder="1" applyAlignment="1" applyProtection="1">
      <alignment vertical="top" wrapText="1"/>
      <protection hidden="1"/>
    </xf>
    <xf numFmtId="0" fontId="0" fillId="0" borderId="39" xfId="0" applyFill="1" applyBorder="1" applyAlignment="1" applyProtection="1">
      <alignment wrapText="1"/>
      <protection hidden="1"/>
    </xf>
    <xf numFmtId="0" fontId="0" fillId="0" borderId="0" xfId="0" applyBorder="1" applyAlignment="1" applyProtection="1">
      <alignment vertical="center"/>
      <protection hidden="1"/>
    </xf>
    <xf numFmtId="0" fontId="0" fillId="0" borderId="39" xfId="0" applyBorder="1" applyAlignment="1" applyProtection="1">
      <alignment vertical="center" wrapText="1"/>
      <protection hidden="1"/>
    </xf>
    <xf numFmtId="0" fontId="16" fillId="0" borderId="0" xfId="0" applyFont="1" applyBorder="1" applyProtection="1">
      <protection hidden="1"/>
    </xf>
    <xf numFmtId="0" fontId="0" fillId="0" borderId="0" xfId="0" applyFill="1" applyBorder="1" applyAlignment="1" applyProtection="1">
      <alignment horizontal="left"/>
      <protection hidden="1"/>
    </xf>
    <xf numFmtId="0" fontId="16" fillId="0" borderId="39" xfId="0" applyFont="1" applyFill="1" applyBorder="1" applyAlignment="1" applyProtection="1">
      <alignment wrapText="1"/>
      <protection hidden="1"/>
    </xf>
    <xf numFmtId="0" fontId="0" fillId="0" borderId="39" xfId="0" applyBorder="1" applyAlignment="1" applyProtection="1">
      <alignment horizontal="left" vertical="center" wrapText="1" indent="2"/>
      <protection hidden="1"/>
    </xf>
    <xf numFmtId="0" fontId="0" fillId="0" borderId="39" xfId="0" applyBorder="1" applyAlignment="1" applyProtection="1">
      <alignment horizontal="left" vertical="center" wrapText="1"/>
      <protection hidden="1"/>
    </xf>
    <xf numFmtId="0" fontId="16" fillId="0" borderId="39" xfId="0" applyFont="1" applyFill="1" applyBorder="1" applyAlignment="1" applyProtection="1">
      <alignment horizontal="left" wrapText="1" indent="2"/>
      <protection hidden="1"/>
    </xf>
    <xf numFmtId="0" fontId="6" fillId="0" borderId="0" xfId="0" applyFont="1" applyBorder="1" applyAlignment="1" applyProtection="1">
      <alignment horizontal="center" vertical="center"/>
      <protection hidden="1"/>
    </xf>
    <xf numFmtId="0" fontId="0" fillId="0" borderId="39" xfId="0" applyFont="1" applyFill="1" applyBorder="1" applyAlignment="1" applyProtection="1">
      <alignment vertical="center"/>
      <protection hidden="1"/>
    </xf>
    <xf numFmtId="0" fontId="7" fillId="0" borderId="0" xfId="0" applyFont="1" applyBorder="1" applyProtection="1">
      <protection hidden="1"/>
    </xf>
    <xf numFmtId="0" fontId="0" fillId="0" borderId="0" xfId="0" applyBorder="1" applyAlignment="1" applyProtection="1">
      <alignment horizontal="right" indent="1"/>
      <protection hidden="1"/>
    </xf>
    <xf numFmtId="0" fontId="0" fillId="0" borderId="39" xfId="0" applyBorder="1" applyAlignment="1" applyProtection="1">
      <alignment horizontal="left" wrapText="1"/>
      <protection hidden="1"/>
    </xf>
    <xf numFmtId="0" fontId="0" fillId="0" borderId="39" xfId="0" applyBorder="1" applyProtection="1">
      <protection hidden="1"/>
    </xf>
    <xf numFmtId="0" fontId="0" fillId="0" borderId="39" xfId="0" applyBorder="1" applyAlignment="1" applyProtection="1">
      <alignment horizontal="left" wrapText="1" indent="2"/>
      <protection hidden="1"/>
    </xf>
    <xf numFmtId="0" fontId="0" fillId="0" borderId="39" xfId="0" applyBorder="1" applyAlignment="1" applyProtection="1">
      <alignment horizontal="left" wrapText="1" indent="4"/>
      <protection hidden="1"/>
    </xf>
    <xf numFmtId="0" fontId="6" fillId="0" borderId="0" xfId="0" applyFont="1" applyBorder="1" applyAlignment="1" applyProtection="1">
      <alignment horizontal="right" vertical="center"/>
      <protection hidden="1"/>
    </xf>
    <xf numFmtId="0" fontId="0" fillId="0" borderId="52" xfId="0" applyBorder="1" applyAlignment="1" applyProtection="1">
      <alignment horizontal="left"/>
      <protection hidden="1"/>
    </xf>
    <xf numFmtId="0" fontId="16" fillId="0" borderId="39" xfId="0" applyFont="1" applyBorder="1" applyAlignment="1" applyProtection="1">
      <alignment vertical="top" wrapText="1"/>
      <protection hidden="1"/>
    </xf>
    <xf numFmtId="0" fontId="16" fillId="0" borderId="39" xfId="4" applyFont="1" applyBorder="1" applyAlignment="1" applyProtection="1">
      <alignment vertical="top" wrapText="1"/>
      <protection hidden="1"/>
    </xf>
    <xf numFmtId="0" fontId="0" fillId="0" borderId="50" xfId="0" applyBorder="1" applyProtection="1">
      <protection hidden="1"/>
    </xf>
    <xf numFmtId="0" fontId="0" fillId="0" borderId="14" xfId="0" applyBorder="1" applyAlignment="1" applyProtection="1">
      <alignment horizontal="left"/>
      <protection hidden="1"/>
    </xf>
    <xf numFmtId="0" fontId="0" fillId="0" borderId="14" xfId="0" applyBorder="1" applyProtection="1">
      <protection hidden="1"/>
    </xf>
    <xf numFmtId="0" fontId="6" fillId="0" borderId="14" xfId="0" applyFont="1" applyBorder="1" applyAlignment="1" applyProtection="1">
      <alignment horizontal="center" vertical="center"/>
      <protection hidden="1"/>
    </xf>
    <xf numFmtId="0" fontId="16" fillId="0" borderId="47" xfId="0" applyFont="1" applyBorder="1" applyAlignment="1" applyProtection="1">
      <alignment vertical="top" wrapText="1"/>
      <protection hidden="1"/>
    </xf>
    <xf numFmtId="0" fontId="35" fillId="0" borderId="52" xfId="0" applyFont="1" applyFill="1" applyBorder="1" applyAlignment="1" applyProtection="1">
      <alignment horizontal="left"/>
      <protection hidden="1"/>
    </xf>
    <xf numFmtId="0" fontId="35" fillId="0" borderId="0" xfId="0" applyFont="1" applyFill="1" applyBorder="1" applyAlignment="1" applyProtection="1">
      <alignment horizontal="left"/>
      <protection hidden="1"/>
    </xf>
    <xf numFmtId="0" fontId="17" fillId="0" borderId="7" xfId="0" applyFont="1" applyBorder="1" applyAlignment="1" applyProtection="1">
      <alignment horizontal="center" vertical="center" wrapText="1"/>
      <protection hidden="1"/>
    </xf>
    <xf numFmtId="0" fontId="17" fillId="0" borderId="8" xfId="0" applyFont="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35" fillId="0" borderId="52" xfId="0" applyFont="1" applyBorder="1" applyAlignment="1" applyProtection="1">
      <alignment horizontal="left"/>
      <protection hidden="1"/>
    </xf>
    <xf numFmtId="0" fontId="35" fillId="0" borderId="0" xfId="0" applyFont="1" applyBorder="1" applyAlignment="1" applyProtection="1">
      <alignment horizontal="left"/>
      <protection hidden="1"/>
    </xf>
    <xf numFmtId="0" fontId="4" fillId="5" borderId="7" xfId="0" applyFont="1" applyFill="1" applyBorder="1" applyAlignment="1" applyProtection="1">
      <alignment horizontal="left" vertical="center"/>
      <protection hidden="1"/>
    </xf>
    <xf numFmtId="0" fontId="4" fillId="5" borderId="8" xfId="0" applyFont="1" applyFill="1" applyBorder="1" applyAlignment="1" applyProtection="1">
      <alignment horizontal="left" vertical="center"/>
      <protection hidden="1"/>
    </xf>
    <xf numFmtId="0" fontId="4" fillId="5" borderId="9" xfId="0" applyFont="1" applyFill="1" applyBorder="1" applyAlignment="1" applyProtection="1">
      <alignment horizontal="left" vertical="center"/>
      <protection hidden="1"/>
    </xf>
    <xf numFmtId="0" fontId="32" fillId="0" borderId="4" xfId="0" applyFont="1" applyBorder="1" applyAlignment="1" applyProtection="1">
      <alignment horizontal="center"/>
      <protection hidden="1"/>
    </xf>
    <xf numFmtId="0" fontId="32" fillId="0" borderId="5" xfId="0" applyFont="1" applyBorder="1" applyAlignment="1" applyProtection="1">
      <alignment horizontal="center"/>
      <protection hidden="1"/>
    </xf>
    <xf numFmtId="0" fontId="32" fillId="0" borderId="6" xfId="0" applyFont="1" applyBorder="1" applyAlignment="1" applyProtection="1">
      <alignment horizontal="center"/>
      <protection hidden="1"/>
    </xf>
    <xf numFmtId="0" fontId="18" fillId="13" borderId="7" xfId="0" applyFont="1" applyFill="1" applyBorder="1" applyAlignment="1" applyProtection="1">
      <alignment horizontal="center" vertical="center"/>
      <protection hidden="1"/>
    </xf>
    <xf numFmtId="0" fontId="18" fillId="13" borderId="8" xfId="0" applyFont="1" applyFill="1" applyBorder="1" applyAlignment="1" applyProtection="1">
      <alignment horizontal="center" vertical="center"/>
      <protection hidden="1"/>
    </xf>
    <xf numFmtId="0" fontId="18" fillId="13" borderId="9" xfId="0" applyFont="1" applyFill="1" applyBorder="1" applyAlignment="1" applyProtection="1">
      <alignment horizontal="center" vertical="center"/>
      <protection hidden="1"/>
    </xf>
    <xf numFmtId="0" fontId="19" fillId="23" borderId="7" xfId="0" applyFont="1" applyFill="1" applyBorder="1" applyAlignment="1" applyProtection="1">
      <alignment horizontal="center"/>
      <protection hidden="1"/>
    </xf>
    <xf numFmtId="0" fontId="19" fillId="23" borderId="8" xfId="0" applyFont="1" applyFill="1" applyBorder="1" applyAlignment="1" applyProtection="1">
      <alignment horizontal="center"/>
      <protection hidden="1"/>
    </xf>
    <xf numFmtId="0" fontId="19" fillId="23" borderId="9" xfId="0" applyFont="1" applyFill="1" applyBorder="1" applyAlignment="1" applyProtection="1">
      <alignment horizontal="center"/>
      <protection hidden="1"/>
    </xf>
    <xf numFmtId="0" fontId="14" fillId="13" borderId="7" xfId="0" applyFont="1" applyFill="1" applyBorder="1" applyAlignment="1" applyProtection="1">
      <alignment horizontal="center" vertical="center" wrapText="1"/>
      <protection hidden="1"/>
    </xf>
    <xf numFmtId="0" fontId="14" fillId="13" borderId="8" xfId="0" applyFont="1" applyFill="1" applyBorder="1" applyAlignment="1" applyProtection="1">
      <alignment horizontal="center" vertical="center" wrapText="1"/>
      <protection hidden="1"/>
    </xf>
    <xf numFmtId="0" fontId="14" fillId="13" borderId="9" xfId="0" applyFont="1" applyFill="1" applyBorder="1" applyAlignment="1" applyProtection="1">
      <alignment horizontal="center" vertical="center" wrapText="1"/>
      <protection hidden="1"/>
    </xf>
    <xf numFmtId="0" fontId="4" fillId="5" borderId="2" xfId="3" applyFont="1" applyFill="1" applyBorder="1" applyAlignment="1" applyProtection="1">
      <alignment horizontal="center" vertical="center"/>
      <protection hidden="1"/>
    </xf>
    <xf numFmtId="0" fontId="4" fillId="5" borderId="7" xfId="3" applyFont="1" applyFill="1" applyBorder="1" applyAlignment="1" applyProtection="1">
      <alignment horizontal="left" vertical="center"/>
      <protection hidden="1"/>
    </xf>
    <xf numFmtId="0" fontId="4" fillId="5" borderId="8" xfId="3" applyFont="1" applyFill="1" applyBorder="1" applyAlignment="1" applyProtection="1">
      <alignment horizontal="left" vertical="center"/>
      <protection hidden="1"/>
    </xf>
    <xf numFmtId="0" fontId="4" fillId="5" borderId="9" xfId="3" applyFont="1" applyFill="1" applyBorder="1" applyAlignment="1" applyProtection="1">
      <alignment horizontal="left" vertical="center"/>
      <protection hidden="1"/>
    </xf>
    <xf numFmtId="0" fontId="0" fillId="12" borderId="0" xfId="0" applyFill="1" applyAlignment="1" applyProtection="1">
      <alignment horizontal="left" vertical="center" wrapText="1"/>
      <protection hidden="1"/>
    </xf>
    <xf numFmtId="0" fontId="0" fillId="12" borderId="0" xfId="0" applyFill="1" applyAlignment="1" applyProtection="1">
      <alignment horizontal="left" vertical="center"/>
      <protection hidden="1"/>
    </xf>
    <xf numFmtId="0" fontId="0" fillId="18" borderId="11" xfId="0" applyFill="1" applyBorder="1" applyAlignment="1" applyProtection="1">
      <alignment horizontal="left" wrapText="1"/>
      <protection hidden="1"/>
    </xf>
    <xf numFmtId="0" fontId="0" fillId="18" borderId="0" xfId="0" applyFill="1" applyBorder="1" applyAlignment="1" applyProtection="1">
      <alignment horizontal="left" wrapText="1"/>
      <protection hidden="1"/>
    </xf>
    <xf numFmtId="0" fontId="0" fillId="18" borderId="10" xfId="0" applyFill="1" applyBorder="1" applyAlignment="1" applyProtection="1">
      <alignment horizontal="left" wrapText="1"/>
      <protection hidden="1"/>
    </xf>
    <xf numFmtId="0" fontId="9" fillId="0" borderId="7" xfId="0" applyFont="1" applyFill="1" applyBorder="1" applyAlignment="1" applyProtection="1">
      <alignment horizontal="left" vertical="center" wrapText="1"/>
      <protection hidden="1"/>
    </xf>
    <xf numFmtId="0" fontId="9" fillId="0" borderId="8" xfId="0" applyFont="1" applyFill="1" applyBorder="1" applyAlignment="1" applyProtection="1">
      <alignment horizontal="left" vertical="center" wrapText="1"/>
      <protection hidden="1"/>
    </xf>
    <xf numFmtId="0" fontId="9" fillId="0" borderId="9" xfId="0" applyFont="1" applyFill="1" applyBorder="1" applyAlignment="1" applyProtection="1">
      <alignment horizontal="left" vertical="center" wrapText="1"/>
      <protection hidden="1"/>
    </xf>
    <xf numFmtId="0" fontId="9" fillId="0" borderId="7"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9" fillId="10" borderId="19" xfId="0" applyFont="1" applyFill="1" applyBorder="1" applyAlignment="1" applyProtection="1">
      <alignment horizontal="center" vertical="center" wrapText="1"/>
      <protection hidden="1"/>
    </xf>
    <xf numFmtId="0" fontId="9" fillId="10" borderId="20" xfId="0" applyFont="1" applyFill="1" applyBorder="1" applyAlignment="1" applyProtection="1">
      <alignment horizontal="center" vertical="center" wrapText="1"/>
      <protection hidden="1"/>
    </xf>
    <xf numFmtId="0" fontId="9" fillId="10" borderId="21" xfId="0" applyFont="1" applyFill="1" applyBorder="1" applyAlignment="1" applyProtection="1">
      <alignment horizontal="center" vertical="center" wrapText="1"/>
      <protection hidden="1"/>
    </xf>
    <xf numFmtId="0" fontId="9" fillId="0" borderId="7"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9" fillId="0" borderId="9" xfId="0" applyFont="1" applyBorder="1" applyAlignment="1" applyProtection="1">
      <alignment horizontal="center"/>
      <protection hidden="1"/>
    </xf>
    <xf numFmtId="0" fontId="9" fillId="10" borderId="15" xfId="0" applyFont="1" applyFill="1" applyBorder="1" applyAlignment="1" applyProtection="1">
      <alignment horizontal="center" vertical="center" wrapText="1"/>
      <protection hidden="1"/>
    </xf>
    <xf numFmtId="0" fontId="9" fillId="10" borderId="48" xfId="0" applyFont="1" applyFill="1" applyBorder="1" applyAlignment="1" applyProtection="1">
      <alignment horizontal="center" vertical="center" wrapText="1"/>
      <protection hidden="1"/>
    </xf>
    <xf numFmtId="0" fontId="9" fillId="10" borderId="47" xfId="0" applyFont="1" applyFill="1" applyBorder="1" applyAlignment="1" applyProtection="1">
      <alignment horizontal="center" vertical="center" wrapText="1"/>
      <protection hidden="1"/>
    </xf>
    <xf numFmtId="0" fontId="9" fillId="10" borderId="16" xfId="0" applyFont="1" applyFill="1" applyBorder="1" applyAlignment="1" applyProtection="1">
      <alignment horizontal="center" vertical="center" wrapText="1"/>
      <protection hidden="1"/>
    </xf>
    <xf numFmtId="0" fontId="9" fillId="10" borderId="17" xfId="0" applyFont="1" applyFill="1" applyBorder="1" applyAlignment="1" applyProtection="1">
      <alignment horizontal="center" vertical="center" wrapText="1"/>
      <protection hidden="1"/>
    </xf>
    <xf numFmtId="0" fontId="9" fillId="10" borderId="18" xfId="0" applyFont="1" applyFill="1" applyBorder="1" applyAlignment="1" applyProtection="1">
      <alignment horizontal="center" vertical="center" wrapText="1"/>
      <protection hidden="1"/>
    </xf>
    <xf numFmtId="0" fontId="9" fillId="0" borderId="7"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cellXfs>
  <cellStyles count="5">
    <cellStyle name="Bad" xfId="2" builtinId="27"/>
    <cellStyle name="Good" xfId="1" builtinId="26"/>
    <cellStyle name="Hyperlink" xfId="4" builtinId="8"/>
    <cellStyle name="Neutral" xfId="3" builtinId="28"/>
    <cellStyle name="Normal" xfId="0" builtinId="0"/>
  </cellStyles>
  <dxfs count="0"/>
  <tableStyles count="0" defaultTableStyle="TableStyleMedium2" defaultPivotStyle="PivotStyleLight16"/>
  <colors>
    <mruColors>
      <color rgb="FFFF9999"/>
      <color rgb="FF99FF99"/>
      <color rgb="FF00FF00"/>
      <color rgb="FFFFFF99"/>
      <color rgb="FFFF99FF"/>
      <color rgb="FFFF6565"/>
      <color rgb="FFFF9933"/>
      <color rgb="FFFF6600"/>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Temporary Threshold Shift Fish</a:t>
            </a:r>
          </a:p>
          <a:p>
            <a:pPr>
              <a:defRPr/>
            </a:pPr>
            <a:r>
              <a:rPr lang="en-US"/>
              <a:t>based on Popper 2014</a:t>
            </a:r>
          </a:p>
        </c:rich>
      </c:tx>
      <c:layout>
        <c:manualLayout>
          <c:xMode val="edge"/>
          <c:yMode val="edge"/>
          <c:x val="0.27757936507936504"/>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998E-404F-958B-D29D8287510C}"/>
            </c:ext>
          </c:extLst>
        </c:ser>
        <c:ser>
          <c:idx val="1"/>
          <c:order val="1"/>
          <c:tx>
            <c:strRef>
              <c:f>'Fishes SB0'!$D$15</c:f>
              <c:strCache>
                <c:ptCount val="1"/>
                <c:pt idx="0">
                  <c:v>186</c:v>
                </c:pt>
              </c:strCache>
            </c:strRef>
          </c:tx>
          <c:spPr>
            <a:ln w="22225" cap="rnd">
              <a:solidFill>
                <a:schemeClr val="accent1"/>
              </a:solidFill>
              <a:round/>
            </a:ln>
            <a:effectLst/>
          </c:spPr>
          <c:marker>
            <c:symbol val="none"/>
          </c:marker>
          <c:xVal>
            <c:numRef>
              <c:f>'Fishes SB0'!$A$16:$A$17</c:f>
              <c:numCache>
                <c:formatCode>General</c:formatCode>
                <c:ptCount val="2"/>
                <c:pt idx="0">
                  <c:v>1</c:v>
                </c:pt>
                <c:pt idx="1">
                  <c:v>5000</c:v>
                </c:pt>
              </c:numCache>
            </c:numRef>
          </c:xVal>
          <c:yVal>
            <c:numRef>
              <c:f>'Fishes SB0'!$D$16:$D$17</c:f>
              <c:numCache>
                <c:formatCode>General</c:formatCode>
                <c:ptCount val="2"/>
                <c:pt idx="0">
                  <c:v>186</c:v>
                </c:pt>
                <c:pt idx="1">
                  <c:v>186</c:v>
                </c:pt>
              </c:numCache>
            </c:numRef>
          </c:yVal>
          <c:smooth val="0"/>
          <c:extLst>
            <c:ext xmlns:c16="http://schemas.microsoft.com/office/drawing/2014/chart" uri="{C3380CC4-5D6E-409C-BE32-E72D297353CC}">
              <c16:uniqueId val="{00000000-5594-4727-9227-E1F50B7B812D}"/>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3116324686267253"/>
          <c:y val="0.13210435501117915"/>
          <c:w val="0.18231395793926256"/>
          <c:h val="5.58114610673665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Temporary Threshold Shift Fish</a:t>
            </a:r>
          </a:p>
          <a:p>
            <a:pPr>
              <a:defRPr/>
            </a:pPr>
            <a:r>
              <a:rPr lang="en-US"/>
              <a:t>based on Popper 2014</a:t>
            </a:r>
          </a:p>
        </c:rich>
      </c:tx>
      <c:layout>
        <c:manualLayout>
          <c:xMode val="edge"/>
          <c:yMode val="edge"/>
          <c:x val="0.27757936507936504"/>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8C34-4F09-BEC8-A28E2F9888DF}"/>
            </c:ext>
          </c:extLst>
        </c:ser>
        <c:ser>
          <c:idx val="1"/>
          <c:order val="1"/>
          <c:tx>
            <c:strRef>
              <c:f>'Fishes SB2'!$D$15</c:f>
              <c:strCache>
                <c:ptCount val="1"/>
                <c:pt idx="0">
                  <c:v>186</c:v>
                </c:pt>
              </c:strCache>
            </c:strRef>
          </c:tx>
          <c:spPr>
            <a:ln w="22225" cap="rnd">
              <a:solidFill>
                <a:schemeClr val="accent1"/>
              </a:solidFill>
              <a:round/>
            </a:ln>
            <a:effectLst/>
          </c:spPr>
          <c:marker>
            <c:symbol val="none"/>
          </c:marker>
          <c:xVal>
            <c:numRef>
              <c:f>'Fishes SB2'!$A$16:$A$17</c:f>
              <c:numCache>
                <c:formatCode>General</c:formatCode>
                <c:ptCount val="2"/>
                <c:pt idx="0">
                  <c:v>1</c:v>
                </c:pt>
                <c:pt idx="1">
                  <c:v>5000</c:v>
                </c:pt>
              </c:numCache>
            </c:numRef>
          </c:xVal>
          <c:yVal>
            <c:numRef>
              <c:f>'Fishes SB2'!$D$16:$D$17</c:f>
              <c:numCache>
                <c:formatCode>General</c:formatCode>
                <c:ptCount val="2"/>
                <c:pt idx="0">
                  <c:v>186</c:v>
                </c:pt>
                <c:pt idx="1">
                  <c:v>186</c:v>
                </c:pt>
              </c:numCache>
            </c:numRef>
          </c:yVal>
          <c:smooth val="0"/>
          <c:extLst>
            <c:ext xmlns:c16="http://schemas.microsoft.com/office/drawing/2014/chart" uri="{C3380CC4-5D6E-409C-BE32-E72D297353CC}">
              <c16:uniqueId val="{00000000-EBFD-4F81-A317-F71F270DDFEA}"/>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1284253530808672"/>
          <c:y val="0.12901778612900661"/>
          <c:w val="0.19901828677665293"/>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a:t>
            </a:r>
            <a:r>
              <a:rPr lang="en-US" sz="1200" b="0" i="0" u="none" strike="noStrike" baseline="0">
                <a:effectLst/>
              </a:rPr>
              <a:t>Behavior Fish </a:t>
            </a:r>
            <a:r>
              <a:rPr lang="en-US"/>
              <a:t> </a:t>
            </a:r>
          </a:p>
          <a:p>
            <a:pPr>
              <a:defRPr/>
            </a:pPr>
            <a:r>
              <a:rPr lang="en-US"/>
              <a:t>based on NMFS 2016</a:t>
            </a:r>
          </a:p>
        </c:rich>
      </c:tx>
      <c:layout>
        <c:manualLayout>
          <c:xMode val="edge"/>
          <c:yMode val="edge"/>
          <c:x val="0.34357013967004124"/>
          <c:y val="3.1051709164312932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DDEB-4CC4-A44A-DCC7A9379300}"/>
            </c:ext>
          </c:extLst>
        </c:ser>
        <c:ser>
          <c:idx val="0"/>
          <c:order val="1"/>
          <c:tx>
            <c:strRef>
              <c:f>'Fishes SB2'!$H$15</c:f>
              <c:strCache>
                <c:ptCount val="1"/>
                <c:pt idx="0">
                  <c:v>150</c:v>
                </c:pt>
              </c:strCache>
            </c:strRef>
          </c:tx>
          <c:spPr>
            <a:ln w="22225" cap="rnd">
              <a:solidFill>
                <a:schemeClr val="bg1">
                  <a:lumMod val="65000"/>
                </a:schemeClr>
              </a:solidFill>
              <a:round/>
            </a:ln>
            <a:effectLst/>
          </c:spPr>
          <c:marker>
            <c:symbol val="none"/>
          </c:marker>
          <c:xVal>
            <c:numRef>
              <c:f>'Fishes SB2'!$A$16:$A$17</c:f>
              <c:numCache>
                <c:formatCode>General</c:formatCode>
                <c:ptCount val="2"/>
                <c:pt idx="0">
                  <c:v>1</c:v>
                </c:pt>
                <c:pt idx="1">
                  <c:v>5000</c:v>
                </c:pt>
              </c:numCache>
            </c:numRef>
          </c:xVal>
          <c:yVal>
            <c:numRef>
              <c:f>'Fishes SB2'!$H$16:$H$17</c:f>
              <c:numCache>
                <c:formatCode>General</c:formatCode>
                <c:ptCount val="2"/>
                <c:pt idx="0">
                  <c:v>150</c:v>
                </c:pt>
                <c:pt idx="1">
                  <c:v>150</c:v>
                </c:pt>
              </c:numCache>
            </c:numRef>
          </c:yVal>
          <c:smooth val="0"/>
          <c:extLst>
            <c:ext xmlns:c16="http://schemas.microsoft.com/office/drawing/2014/chart" uri="{C3380CC4-5D6E-409C-BE32-E72D297353CC}">
              <c16:uniqueId val="{00000003-C442-4930-8849-A3AB3273C5FB}"/>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5213352237220343"/>
          <c:y val="0.13217286049471089"/>
          <c:w val="0.16210336989126356"/>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Injury Fish</a:t>
            </a:r>
          </a:p>
          <a:p>
            <a:pPr>
              <a:defRPr/>
            </a:pPr>
            <a:r>
              <a:rPr lang="en-US"/>
              <a:t>Based on Stadler and Woodbury 2009</a:t>
            </a:r>
          </a:p>
        </c:rich>
      </c:tx>
      <c:layout>
        <c:manualLayout>
          <c:xMode val="edge"/>
          <c:yMode val="edge"/>
          <c:x val="0.30805922805152974"/>
          <c:y val="6.2102322436968114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821E-4D27-8E6D-AD78BD8FDA18}"/>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821E-4D27-8E6D-AD78BD8FDA18}"/>
            </c:ext>
          </c:extLst>
        </c:ser>
        <c:ser>
          <c:idx val="2"/>
          <c:order val="2"/>
          <c:tx>
            <c:strRef>
              <c:f>'Fishes SB2'!$E$15</c:f>
              <c:strCache>
                <c:ptCount val="1"/>
                <c:pt idx="0">
                  <c:v>183</c:v>
                </c:pt>
              </c:strCache>
            </c:strRef>
          </c:tx>
          <c:spPr>
            <a:ln w="22225" cap="rnd">
              <a:solidFill>
                <a:schemeClr val="accent1"/>
              </a:solidFill>
              <a:round/>
            </a:ln>
            <a:effectLst/>
          </c:spPr>
          <c:marker>
            <c:symbol val="none"/>
          </c:marker>
          <c:xVal>
            <c:numRef>
              <c:f>'Fishes SB2'!$A$16:$A$17</c:f>
              <c:numCache>
                <c:formatCode>General</c:formatCode>
                <c:ptCount val="2"/>
                <c:pt idx="0">
                  <c:v>1</c:v>
                </c:pt>
                <c:pt idx="1">
                  <c:v>5000</c:v>
                </c:pt>
              </c:numCache>
            </c:numRef>
          </c:xVal>
          <c:yVal>
            <c:numRef>
              <c:f>'Fishes SB2'!$E$16:$E$17</c:f>
              <c:numCache>
                <c:formatCode>General</c:formatCode>
                <c:ptCount val="2"/>
                <c:pt idx="0">
                  <c:v>183</c:v>
                </c:pt>
                <c:pt idx="1">
                  <c:v>183</c:v>
                </c:pt>
              </c:numCache>
            </c:numRef>
          </c:yVal>
          <c:smooth val="0"/>
          <c:extLst>
            <c:ext xmlns:c16="http://schemas.microsoft.com/office/drawing/2014/chart" uri="{C3380CC4-5D6E-409C-BE32-E72D297353CC}">
              <c16:uniqueId val="{00000000-4FD2-418D-AFA4-B7BBC1AF26D4}"/>
            </c:ext>
          </c:extLst>
        </c:ser>
        <c:ser>
          <c:idx val="3"/>
          <c:order val="3"/>
          <c:tx>
            <c:strRef>
              <c:f>'Fishes SB2'!$F$15</c:f>
              <c:strCache>
                <c:ptCount val="1"/>
                <c:pt idx="0">
                  <c:v>187</c:v>
                </c:pt>
              </c:strCache>
            </c:strRef>
          </c:tx>
          <c:spPr>
            <a:ln w="22225" cap="rnd">
              <a:solidFill>
                <a:schemeClr val="accent1"/>
              </a:solidFill>
              <a:prstDash val="dashDot"/>
              <a:round/>
            </a:ln>
            <a:effectLst/>
          </c:spPr>
          <c:marker>
            <c:symbol val="none"/>
          </c:marker>
          <c:xVal>
            <c:numRef>
              <c:f>'Fishes SB2'!$A$16:$A$17</c:f>
              <c:numCache>
                <c:formatCode>General</c:formatCode>
                <c:ptCount val="2"/>
                <c:pt idx="0">
                  <c:v>1</c:v>
                </c:pt>
                <c:pt idx="1">
                  <c:v>5000</c:v>
                </c:pt>
              </c:numCache>
            </c:numRef>
          </c:xVal>
          <c:yVal>
            <c:numRef>
              <c:f>'Fishes SB2'!$F$16:$F$17</c:f>
              <c:numCache>
                <c:formatCode>General</c:formatCode>
                <c:ptCount val="2"/>
                <c:pt idx="0">
                  <c:v>187</c:v>
                </c:pt>
                <c:pt idx="1">
                  <c:v>187</c:v>
                </c:pt>
              </c:numCache>
            </c:numRef>
          </c:yVal>
          <c:smooth val="0"/>
          <c:extLst>
            <c:ext xmlns:c16="http://schemas.microsoft.com/office/drawing/2014/chart" uri="{C3380CC4-5D6E-409C-BE32-E72D297353CC}">
              <c16:uniqueId val="{00000001-4FD2-418D-AFA4-B7BBC1AF26D4}"/>
            </c:ext>
          </c:extLst>
        </c:ser>
        <c:ser>
          <c:idx val="4"/>
          <c:order val="4"/>
          <c:tx>
            <c:strRef>
              <c:f>'Fishes SB2'!$G$15</c:f>
              <c:strCache>
                <c:ptCount val="1"/>
                <c:pt idx="0">
                  <c:v>206</c:v>
                </c:pt>
              </c:strCache>
            </c:strRef>
          </c:tx>
          <c:spPr>
            <a:ln w="19050" cap="rnd">
              <a:solidFill>
                <a:schemeClr val="accent2"/>
              </a:solidFill>
              <a:round/>
            </a:ln>
            <a:effectLst/>
          </c:spPr>
          <c:marker>
            <c:symbol val="none"/>
          </c:marker>
          <c:xVal>
            <c:numRef>
              <c:f>'Fishes SB2'!$A$16:$A$17</c:f>
              <c:numCache>
                <c:formatCode>General</c:formatCode>
                <c:ptCount val="2"/>
                <c:pt idx="0">
                  <c:v>1</c:v>
                </c:pt>
                <c:pt idx="1">
                  <c:v>5000</c:v>
                </c:pt>
              </c:numCache>
            </c:numRef>
          </c:xVal>
          <c:yVal>
            <c:numRef>
              <c:f>'Fishes SB2'!$G$16:$G$17</c:f>
              <c:numCache>
                <c:formatCode>General</c:formatCode>
                <c:ptCount val="2"/>
                <c:pt idx="0">
                  <c:v>206</c:v>
                </c:pt>
                <c:pt idx="1">
                  <c:v>206</c:v>
                </c:pt>
              </c:numCache>
            </c:numRef>
          </c:yVal>
          <c:smooth val="0"/>
          <c:extLst>
            <c:ext xmlns:c16="http://schemas.microsoft.com/office/drawing/2014/chart" uri="{C3380CC4-5D6E-409C-BE32-E72D297353CC}">
              <c16:uniqueId val="{00000002-4FD2-418D-AFA4-B7BBC1AF26D4}"/>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55411237657792789"/>
          <c:y val="0.12901778612900661"/>
          <c:w val="0.35660190913635798"/>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Mortal Injury Turtle</a:t>
            </a:r>
          </a:p>
          <a:p>
            <a:pPr>
              <a:defRPr/>
            </a:pPr>
            <a:r>
              <a:rPr lang="en-US"/>
              <a:t>based on Popper 2014</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6A6C-4DC7-AE42-CB4C3F449776}"/>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6A6C-4DC7-AE42-CB4C3F449776}"/>
            </c:ext>
          </c:extLst>
        </c:ser>
        <c:ser>
          <c:idx val="2"/>
          <c:order val="2"/>
          <c:tx>
            <c:strRef>
              <c:f>'Sea Turtles'!$B$12</c:f>
              <c:strCache>
                <c:ptCount val="1"/>
                <c:pt idx="0">
                  <c:v>210</c:v>
                </c:pt>
              </c:strCache>
            </c:strRef>
          </c:tx>
          <c:spPr>
            <a:ln w="22225" cap="rnd">
              <a:solidFill>
                <a:schemeClr val="accent1"/>
              </a:solidFill>
              <a:round/>
            </a:ln>
            <a:effectLst/>
          </c:spPr>
          <c:marker>
            <c:symbol val="none"/>
          </c:marker>
          <c:xVal>
            <c:numRef>
              <c:f>'Sea Turtles'!$A$13:$A$14</c:f>
              <c:numCache>
                <c:formatCode>General</c:formatCode>
                <c:ptCount val="2"/>
                <c:pt idx="0">
                  <c:v>1</c:v>
                </c:pt>
                <c:pt idx="1">
                  <c:v>5000</c:v>
                </c:pt>
              </c:numCache>
            </c:numRef>
          </c:xVal>
          <c:yVal>
            <c:numRef>
              <c:f>'Sea Turtles'!$B$13:$B$14</c:f>
              <c:numCache>
                <c:formatCode>General</c:formatCode>
                <c:ptCount val="2"/>
                <c:pt idx="0">
                  <c:v>210</c:v>
                </c:pt>
                <c:pt idx="1">
                  <c:v>210</c:v>
                </c:pt>
              </c:numCache>
            </c:numRef>
          </c:yVal>
          <c:smooth val="0"/>
          <c:extLst>
            <c:ext xmlns:c16="http://schemas.microsoft.com/office/drawing/2014/chart" uri="{C3380CC4-5D6E-409C-BE32-E72D297353CC}">
              <c16:uniqueId val="{00000002-6D2C-4D8C-8760-ABA1583A511B}"/>
            </c:ext>
          </c:extLst>
        </c:ser>
        <c:ser>
          <c:idx val="3"/>
          <c:order val="3"/>
          <c:tx>
            <c:strRef>
              <c:f>'Sea Turtles'!$C$12</c:f>
              <c:strCache>
                <c:ptCount val="1"/>
                <c:pt idx="0">
                  <c:v>207</c:v>
                </c:pt>
              </c:strCache>
            </c:strRef>
          </c:tx>
          <c:spPr>
            <a:ln w="19050" cap="rnd">
              <a:solidFill>
                <a:schemeClr val="accent4"/>
              </a:solidFill>
              <a:round/>
            </a:ln>
            <a:effectLst/>
          </c:spPr>
          <c:marker>
            <c:symbol val="none"/>
          </c:marker>
          <c:dPt>
            <c:idx val="1"/>
            <c:marker>
              <c:symbol val="none"/>
            </c:marker>
            <c:bubble3D val="0"/>
            <c:spPr>
              <a:ln w="22225" cap="rnd">
                <a:solidFill>
                  <a:schemeClr val="accent2"/>
                </a:solidFill>
                <a:round/>
              </a:ln>
              <a:effectLst/>
            </c:spPr>
            <c:extLst>
              <c:ext xmlns:c16="http://schemas.microsoft.com/office/drawing/2014/chart" uri="{C3380CC4-5D6E-409C-BE32-E72D297353CC}">
                <c16:uniqueId val="{00000004-6D2C-4D8C-8760-ABA1583A511B}"/>
              </c:ext>
            </c:extLst>
          </c:dPt>
          <c:xVal>
            <c:numRef>
              <c:f>'Sea Turtles'!$A$13:$A$14</c:f>
              <c:numCache>
                <c:formatCode>General</c:formatCode>
                <c:ptCount val="2"/>
                <c:pt idx="0">
                  <c:v>1</c:v>
                </c:pt>
                <c:pt idx="1">
                  <c:v>5000</c:v>
                </c:pt>
              </c:numCache>
            </c:numRef>
          </c:xVal>
          <c:yVal>
            <c:numRef>
              <c:f>'Sea Turtles'!$C$13:$C$14</c:f>
              <c:numCache>
                <c:formatCode>General</c:formatCode>
                <c:ptCount val="2"/>
                <c:pt idx="0">
                  <c:v>207</c:v>
                </c:pt>
                <c:pt idx="1">
                  <c:v>207</c:v>
                </c:pt>
              </c:numCache>
            </c:numRef>
          </c:yVal>
          <c:smooth val="0"/>
          <c:extLst>
            <c:ext xmlns:c16="http://schemas.microsoft.com/office/drawing/2014/chart" uri="{C3380CC4-5D6E-409C-BE32-E72D297353CC}">
              <c16:uniqueId val="{00000003-6D2C-4D8C-8760-ABA1583A511B}"/>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2431189105240081"/>
          <c:y val="0.13518683401507456"/>
          <c:w val="0.28882357038651829"/>
          <c:h val="5.577624509459615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Physiology and Behavior</a:t>
            </a:r>
          </a:p>
          <a:p>
            <a:pPr>
              <a:defRPr/>
            </a:pPr>
            <a:r>
              <a:rPr lang="en-US"/>
              <a:t>based on NMFS 2016</a:t>
            </a:r>
          </a:p>
        </c:rich>
      </c:tx>
      <c:layout>
        <c:manualLayout>
          <c:xMode val="edge"/>
          <c:yMode val="edge"/>
          <c:x val="0.34357013967004124"/>
          <c:y val="3.1051709164312932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1A6B-4A0A-BE54-1CB258A43B9D}"/>
            </c:ext>
          </c:extLst>
        </c:ser>
        <c:ser>
          <c:idx val="0"/>
          <c:order val="1"/>
          <c:tx>
            <c:strRef>
              <c:f>'Sea Turtles'!$E$12</c:f>
              <c:strCache>
                <c:ptCount val="1"/>
                <c:pt idx="0">
                  <c:v>180</c:v>
                </c:pt>
              </c:strCache>
            </c:strRef>
          </c:tx>
          <c:spPr>
            <a:ln w="22225" cap="rnd">
              <a:solidFill>
                <a:schemeClr val="bg1">
                  <a:lumMod val="65000"/>
                </a:schemeClr>
              </a:solidFill>
              <a:prstDash val="dashDot"/>
              <a:round/>
            </a:ln>
            <a:effectLst/>
          </c:spPr>
          <c:marker>
            <c:symbol val="none"/>
          </c:marker>
          <c:xVal>
            <c:numRef>
              <c:f>'Sea Turtles'!$A$13:$A$14</c:f>
              <c:numCache>
                <c:formatCode>General</c:formatCode>
                <c:ptCount val="2"/>
                <c:pt idx="0">
                  <c:v>1</c:v>
                </c:pt>
                <c:pt idx="1">
                  <c:v>5000</c:v>
                </c:pt>
              </c:numCache>
            </c:numRef>
          </c:xVal>
          <c:yVal>
            <c:numRef>
              <c:f>'Sea Turtles'!$E$13:$E$14</c:f>
              <c:numCache>
                <c:formatCode>General</c:formatCode>
                <c:ptCount val="2"/>
                <c:pt idx="0">
                  <c:v>180</c:v>
                </c:pt>
                <c:pt idx="1">
                  <c:v>180</c:v>
                </c:pt>
              </c:numCache>
            </c:numRef>
          </c:yVal>
          <c:smooth val="0"/>
          <c:extLst>
            <c:ext xmlns:c16="http://schemas.microsoft.com/office/drawing/2014/chart" uri="{C3380CC4-5D6E-409C-BE32-E72D297353CC}">
              <c16:uniqueId val="{00000000-F934-4B41-829E-43C9FB208910}"/>
            </c:ext>
          </c:extLst>
        </c:ser>
        <c:ser>
          <c:idx val="1"/>
          <c:order val="2"/>
          <c:tx>
            <c:strRef>
              <c:f>'Sea Turtles'!$F$12</c:f>
              <c:strCache>
                <c:ptCount val="1"/>
                <c:pt idx="0">
                  <c:v>166</c:v>
                </c:pt>
              </c:strCache>
            </c:strRef>
          </c:tx>
          <c:spPr>
            <a:ln w="22225" cap="rnd">
              <a:solidFill>
                <a:schemeClr val="bg1">
                  <a:lumMod val="65000"/>
                </a:schemeClr>
              </a:solidFill>
              <a:round/>
            </a:ln>
            <a:effectLst/>
          </c:spPr>
          <c:marker>
            <c:symbol val="none"/>
          </c:marker>
          <c:xVal>
            <c:numRef>
              <c:f>'Sea Turtles'!$A$13:$A$14</c:f>
              <c:numCache>
                <c:formatCode>General</c:formatCode>
                <c:ptCount val="2"/>
                <c:pt idx="0">
                  <c:v>1</c:v>
                </c:pt>
                <c:pt idx="1">
                  <c:v>5000</c:v>
                </c:pt>
              </c:numCache>
            </c:numRef>
          </c:xVal>
          <c:yVal>
            <c:numRef>
              <c:f>'Sea Turtles'!$F$13:$F$14</c:f>
              <c:numCache>
                <c:formatCode>General</c:formatCode>
                <c:ptCount val="2"/>
                <c:pt idx="0">
                  <c:v>166</c:v>
                </c:pt>
                <c:pt idx="1">
                  <c:v>166</c:v>
                </c:pt>
              </c:numCache>
            </c:numRef>
          </c:yVal>
          <c:smooth val="0"/>
          <c:extLst>
            <c:ext xmlns:c16="http://schemas.microsoft.com/office/drawing/2014/chart" uri="{C3380CC4-5D6E-409C-BE32-E72D297353CC}">
              <c16:uniqueId val="{00000001-F934-4B41-829E-43C9FB208910}"/>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2376142539531763"/>
          <c:y val="0.13217279456588846"/>
          <c:w val="0.18805143835641988"/>
          <c:h val="5.577624509459615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PTS Low Frequency Cetacean</a:t>
            </a:r>
          </a:p>
          <a:p>
            <a:pPr>
              <a:defRPr/>
            </a:pPr>
            <a:r>
              <a:rPr lang="en-US"/>
              <a:t>based on NMFS 2018</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Calcs!$AD$6:$AD$51</c:f>
              <c:numCache>
                <c:formatCode>0.0</c:formatCode>
                <c:ptCount val="46"/>
                <c:pt idx="0">
                  <c:v>215.20176050795777</c:v>
                </c:pt>
                <c:pt idx="1">
                  <c:v>214.20075156834841</c:v>
                </c:pt>
                <c:pt idx="2">
                  <c:v>213.19948138863521</c:v>
                </c:pt>
                <c:pt idx="3">
                  <c:v>212.19788232711673</c:v>
                </c:pt>
                <c:pt idx="4">
                  <c:v>211.19586922793607</c:v>
                </c:pt>
                <c:pt idx="5">
                  <c:v>210.19333488622112</c:v>
                </c:pt>
                <c:pt idx="6">
                  <c:v>209.19014433903396</c:v>
                </c:pt>
                <c:pt idx="7">
                  <c:v>208.18612767810254</c:v>
                </c:pt>
                <c:pt idx="8">
                  <c:v>207.18107100158539</c:v>
                </c:pt>
                <c:pt idx="9">
                  <c:v>206.17470502301873</c:v>
                </c:pt>
                <c:pt idx="10">
                  <c:v>205.16669073083023</c:v>
                </c:pt>
                <c:pt idx="11">
                  <c:v>204.15660133473659</c:v>
                </c:pt>
                <c:pt idx="12">
                  <c:v>203.14389953760465</c:v>
                </c:pt>
                <c:pt idx="13">
                  <c:v>202.12790892241981</c:v>
                </c:pt>
                <c:pt idx="14">
                  <c:v>201.10777793061337</c:v>
                </c:pt>
                <c:pt idx="15">
                  <c:v>200.08243451346362</c:v>
                </c:pt>
                <c:pt idx="16">
                  <c:v>199.05052904159211</c:v>
                </c:pt>
                <c:pt idx="17">
                  <c:v>198.01036243227779</c:v>
                </c:pt>
                <c:pt idx="18">
                  <c:v>196.95979566710639</c:v>
                </c:pt>
                <c:pt idx="19">
                  <c:v>195.89613588143987</c:v>
                </c:pt>
                <c:pt idx="20">
                  <c:v>194.8159929595549</c:v>
                </c:pt>
                <c:pt idx="21">
                  <c:v>193.71509899861852</c:v>
                </c:pt>
                <c:pt idx="22">
                  <c:v>192.5880810272991</c:v>
                </c:pt>
                <c:pt idx="23">
                  <c:v>191.42817487545057</c:v>
                </c:pt>
                <c:pt idx="24">
                  <c:v>190.22686495738623</c:v>
                </c:pt>
                <c:pt idx="25">
                  <c:v>188.97343078588881</c:v>
                </c:pt>
                <c:pt idx="26">
                  <c:v>187.65437606717373</c:v>
                </c:pt>
                <c:pt idx="27">
                  <c:v>186.25270997403044</c:v>
                </c:pt>
                <c:pt idx="28">
                  <c:v>184.74704232231633</c:v>
                </c:pt>
                <c:pt idx="29">
                  <c:v>183.11044446565111</c:v>
                </c:pt>
                <c:pt idx="30">
                  <c:v>181.30901524680161</c:v>
                </c:pt>
                <c:pt idx="31">
                  <c:v>179.30007563743757</c:v>
                </c:pt>
                <c:pt idx="32">
                  <c:v>177.02989592424353</c:v>
                </c:pt>
                <c:pt idx="33">
                  <c:v>174.43083440575813</c:v>
                </c:pt>
                <c:pt idx="34">
                  <c:v>171.41773522511468</c:v>
                </c:pt>
                <c:pt idx="35">
                  <c:v>167.88339351014065</c:v>
                </c:pt>
                <c:pt idx="36">
                  <c:v>163.69284632298982</c:v>
                </c:pt>
                <c:pt idx="37">
                  <c:v>158.67618539155725</c:v>
                </c:pt>
                <c:pt idx="38">
                  <c:v>152.61950887441594</c:v>
                </c:pt>
                <c:pt idx="39">
                  <c:v>145.25353030776395</c:v>
                </c:pt>
                <c:pt idx="40">
                  <c:v>136.23923811926878</c:v>
                </c:pt>
                <c:pt idx="41">
                  <c:v>125.14984202562873</c:v>
                </c:pt>
                <c:pt idx="42">
                  <c:v>111.44804489368845</c:v>
                </c:pt>
                <c:pt idx="43">
                  <c:v>94.457429708834567</c:v>
                </c:pt>
                <c:pt idx="44">
                  <c:v>73.326437902400357</c:v>
                </c:pt>
                <c:pt idx="45">
                  <c:v>46.983020752660209</c:v>
                </c:pt>
              </c:numCache>
            </c:numRef>
          </c:yVal>
          <c:smooth val="0"/>
          <c:extLst>
            <c:ext xmlns:c16="http://schemas.microsoft.com/office/drawing/2014/chart" uri="{C3380CC4-5D6E-409C-BE32-E72D297353CC}">
              <c16:uniqueId val="{00000000-D786-414E-8EEE-DC13CD3331BB}"/>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D786-414E-8EEE-DC13CD3331BB}"/>
            </c:ext>
          </c:extLst>
        </c:ser>
        <c:ser>
          <c:idx val="2"/>
          <c:order val="2"/>
          <c:tx>
            <c:strRef>
              <c:f>'LF Cetacean'!$B$14</c:f>
              <c:strCache>
                <c:ptCount val="1"/>
                <c:pt idx="0">
                  <c:v>183</c:v>
                </c:pt>
              </c:strCache>
            </c:strRef>
          </c:tx>
          <c:spPr>
            <a:ln w="19050" cap="rnd">
              <a:solidFill>
                <a:schemeClr val="accent3"/>
              </a:solidFill>
              <a:round/>
            </a:ln>
            <a:effectLst/>
          </c:spPr>
          <c:marker>
            <c:symbol val="none"/>
          </c:marker>
          <c:dPt>
            <c:idx val="1"/>
            <c:marker>
              <c:symbol val="none"/>
            </c:marker>
            <c:bubble3D val="0"/>
            <c:spPr>
              <a:ln w="22225" cap="rnd">
                <a:solidFill>
                  <a:schemeClr val="accent1"/>
                </a:solidFill>
                <a:round/>
              </a:ln>
              <a:effectLst/>
            </c:spPr>
            <c:extLst>
              <c:ext xmlns:c16="http://schemas.microsoft.com/office/drawing/2014/chart" uri="{C3380CC4-5D6E-409C-BE32-E72D297353CC}">
                <c16:uniqueId val="{00000002-3E28-4CEC-862C-DC26AF2CC968}"/>
              </c:ext>
            </c:extLst>
          </c:dPt>
          <c:xVal>
            <c:numRef>
              <c:f>'LF Cetacean'!$A$15:$A$16</c:f>
              <c:numCache>
                <c:formatCode>General</c:formatCode>
                <c:ptCount val="2"/>
                <c:pt idx="0">
                  <c:v>1</c:v>
                </c:pt>
                <c:pt idx="1">
                  <c:v>5000</c:v>
                </c:pt>
              </c:numCache>
            </c:numRef>
          </c:xVal>
          <c:yVal>
            <c:numRef>
              <c:f>'LF Cetacean'!$B$15:$B$16</c:f>
              <c:numCache>
                <c:formatCode>General</c:formatCode>
                <c:ptCount val="2"/>
                <c:pt idx="0">
                  <c:v>183</c:v>
                </c:pt>
                <c:pt idx="1">
                  <c:v>183</c:v>
                </c:pt>
              </c:numCache>
            </c:numRef>
          </c:yVal>
          <c:smooth val="0"/>
          <c:extLst>
            <c:ext xmlns:c16="http://schemas.microsoft.com/office/drawing/2014/chart" uri="{C3380CC4-5D6E-409C-BE32-E72D297353CC}">
              <c16:uniqueId val="{00000000-3E28-4CEC-862C-DC26AF2CC968}"/>
            </c:ext>
          </c:extLst>
        </c:ser>
        <c:ser>
          <c:idx val="3"/>
          <c:order val="3"/>
          <c:tx>
            <c:strRef>
              <c:f>'LF Cetacean'!$C$14</c:f>
              <c:strCache>
                <c:ptCount val="1"/>
                <c:pt idx="0">
                  <c:v>219</c:v>
                </c:pt>
              </c:strCache>
            </c:strRef>
          </c:tx>
          <c:spPr>
            <a:ln w="19050" cap="rnd">
              <a:solidFill>
                <a:schemeClr val="accent4"/>
              </a:solidFill>
              <a:round/>
            </a:ln>
            <a:effectLst/>
          </c:spPr>
          <c:marker>
            <c:symbol val="none"/>
          </c:marker>
          <c:dPt>
            <c:idx val="1"/>
            <c:marker>
              <c:symbol val="none"/>
            </c:marker>
            <c:bubble3D val="0"/>
            <c:spPr>
              <a:ln w="22225" cap="rnd">
                <a:solidFill>
                  <a:schemeClr val="accent2"/>
                </a:solidFill>
                <a:round/>
              </a:ln>
              <a:effectLst/>
            </c:spPr>
            <c:extLst>
              <c:ext xmlns:c16="http://schemas.microsoft.com/office/drawing/2014/chart" uri="{C3380CC4-5D6E-409C-BE32-E72D297353CC}">
                <c16:uniqueId val="{00000003-3E28-4CEC-862C-DC26AF2CC968}"/>
              </c:ext>
            </c:extLst>
          </c:dPt>
          <c:xVal>
            <c:numRef>
              <c:f>'LF Cetacean'!$A$15:$A$16</c:f>
              <c:numCache>
                <c:formatCode>General</c:formatCode>
                <c:ptCount val="2"/>
                <c:pt idx="0">
                  <c:v>1</c:v>
                </c:pt>
                <c:pt idx="1">
                  <c:v>5000</c:v>
                </c:pt>
              </c:numCache>
            </c:numRef>
          </c:xVal>
          <c:yVal>
            <c:numRef>
              <c:f>'LF Cetacean'!$C$15:$C$16</c:f>
              <c:numCache>
                <c:formatCode>General</c:formatCode>
                <c:ptCount val="2"/>
                <c:pt idx="0">
                  <c:v>219</c:v>
                </c:pt>
                <c:pt idx="1">
                  <c:v>219</c:v>
                </c:pt>
              </c:numCache>
            </c:numRef>
          </c:yVal>
          <c:smooth val="0"/>
          <c:extLst>
            <c:ext xmlns:c16="http://schemas.microsoft.com/office/drawing/2014/chart" uri="{C3380CC4-5D6E-409C-BE32-E72D297353CC}">
              <c16:uniqueId val="{00000001-3E28-4CEC-862C-DC26AF2CC968}"/>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2896551400017076"/>
          <c:y val="0.1290179035973639"/>
          <c:w val="0.28078259493695668"/>
          <c:h val="5.596546538459944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Behavior Low Frequency Cetacean</a:t>
            </a:r>
          </a:p>
          <a:p>
            <a:pPr>
              <a:defRPr/>
            </a:pPr>
            <a:r>
              <a:rPr lang="en-US"/>
              <a:t>based on </a:t>
            </a:r>
            <a:r>
              <a:rPr lang="en-US" sz="1200" b="0" i="0" u="none" strike="noStrike" baseline="0">
                <a:effectLst/>
              </a:rPr>
              <a:t>FR 2005</a:t>
            </a:r>
            <a:endParaRPr lang="en-US"/>
          </a:p>
        </c:rich>
      </c:tx>
      <c:layout>
        <c:manualLayout>
          <c:xMode val="edge"/>
          <c:yMode val="edge"/>
          <c:x val="0.24684394919385072"/>
          <c:y val="3.105132691746865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669D-4776-ACE0-C600A1C3E1D9}"/>
            </c:ext>
          </c:extLst>
        </c:ser>
        <c:ser>
          <c:idx val="0"/>
          <c:order val="1"/>
          <c:tx>
            <c:strRef>
              <c:f>'LF Cetacean'!$F$14</c:f>
              <c:strCache>
                <c:ptCount val="1"/>
                <c:pt idx="0">
                  <c:v>160</c:v>
                </c:pt>
              </c:strCache>
            </c:strRef>
          </c:tx>
          <c:spPr>
            <a:ln w="22225" cap="rnd">
              <a:solidFill>
                <a:schemeClr val="bg1">
                  <a:lumMod val="65000"/>
                </a:schemeClr>
              </a:solidFill>
              <a:round/>
            </a:ln>
            <a:effectLst/>
          </c:spPr>
          <c:marker>
            <c:symbol val="none"/>
          </c:marker>
          <c:xVal>
            <c:numRef>
              <c:f>'LF Cetacean'!$A$15:$A$16</c:f>
              <c:numCache>
                <c:formatCode>General</c:formatCode>
                <c:ptCount val="2"/>
                <c:pt idx="0">
                  <c:v>1</c:v>
                </c:pt>
                <c:pt idx="1">
                  <c:v>5000</c:v>
                </c:pt>
              </c:numCache>
            </c:numRef>
          </c:xVal>
          <c:yVal>
            <c:numRef>
              <c:f>'LF Cetacean'!$F$15:$F$16</c:f>
              <c:numCache>
                <c:formatCode>General</c:formatCode>
                <c:ptCount val="2"/>
                <c:pt idx="0">
                  <c:v>160</c:v>
                </c:pt>
                <c:pt idx="1">
                  <c:v>160</c:v>
                </c:pt>
              </c:numCache>
            </c:numRef>
          </c:yVal>
          <c:smooth val="0"/>
          <c:extLst>
            <c:ext xmlns:c16="http://schemas.microsoft.com/office/drawing/2014/chart" uri="{C3380CC4-5D6E-409C-BE32-E72D297353CC}">
              <c16:uniqueId val="{00000000-A6C0-45EB-B16C-85EA67AFF33F}"/>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4103066971849696"/>
          <c:y val="0.13217288811120831"/>
          <c:w val="0.17035041436152415"/>
          <c:h val="5.58114610673665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TTS Low Frequency Cetacean</a:t>
            </a:r>
          </a:p>
          <a:p>
            <a:pPr>
              <a:defRPr/>
            </a:pPr>
            <a:r>
              <a:rPr lang="en-US"/>
              <a:t>Based on NMFS 2018</a:t>
            </a:r>
          </a:p>
        </c:rich>
      </c:tx>
      <c:layout>
        <c:manualLayout>
          <c:xMode val="edge"/>
          <c:yMode val="edge"/>
          <c:x val="0.25363333489563805"/>
          <c:y val="6.2103418328625865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Calcs!$AF$6:$AF$51</c:f>
              <c:numCache>
                <c:formatCode>0.0</c:formatCode>
                <c:ptCount val="46"/>
                <c:pt idx="0">
                  <c:v>215.20176050795777</c:v>
                </c:pt>
                <c:pt idx="1">
                  <c:v>214.20075156834841</c:v>
                </c:pt>
                <c:pt idx="2">
                  <c:v>213.19948138863521</c:v>
                </c:pt>
                <c:pt idx="3">
                  <c:v>212.19788232711673</c:v>
                </c:pt>
                <c:pt idx="4">
                  <c:v>211.19586922793607</c:v>
                </c:pt>
                <c:pt idx="5">
                  <c:v>210.19333488622112</c:v>
                </c:pt>
                <c:pt idx="6">
                  <c:v>209.19014433903396</c:v>
                </c:pt>
                <c:pt idx="7">
                  <c:v>208.18612767810254</c:v>
                </c:pt>
                <c:pt idx="8">
                  <c:v>207.18107100158539</c:v>
                </c:pt>
                <c:pt idx="9">
                  <c:v>206.17470502301873</c:v>
                </c:pt>
                <c:pt idx="10">
                  <c:v>205.16669073083023</c:v>
                </c:pt>
                <c:pt idx="11">
                  <c:v>204.15660133473659</c:v>
                </c:pt>
                <c:pt idx="12">
                  <c:v>203.14389953760465</c:v>
                </c:pt>
                <c:pt idx="13">
                  <c:v>202.12790892241981</c:v>
                </c:pt>
                <c:pt idx="14">
                  <c:v>201.10777793061337</c:v>
                </c:pt>
                <c:pt idx="15">
                  <c:v>200.08243451346362</c:v>
                </c:pt>
                <c:pt idx="16">
                  <c:v>199.05052904159211</c:v>
                </c:pt>
                <c:pt idx="17">
                  <c:v>198.01036243227779</c:v>
                </c:pt>
                <c:pt idx="18">
                  <c:v>196.95979566710639</c:v>
                </c:pt>
                <c:pt idx="19">
                  <c:v>195.89613588143987</c:v>
                </c:pt>
                <c:pt idx="20">
                  <c:v>194.8159929595549</c:v>
                </c:pt>
                <c:pt idx="21">
                  <c:v>193.71509899861852</c:v>
                </c:pt>
                <c:pt idx="22">
                  <c:v>192.5880810272991</c:v>
                </c:pt>
                <c:pt idx="23">
                  <c:v>191.42817487545057</c:v>
                </c:pt>
                <c:pt idx="24">
                  <c:v>190.22686495738623</c:v>
                </c:pt>
                <c:pt idx="25">
                  <c:v>188.97343078588881</c:v>
                </c:pt>
                <c:pt idx="26">
                  <c:v>187.65437606717373</c:v>
                </c:pt>
                <c:pt idx="27">
                  <c:v>186.25270997403044</c:v>
                </c:pt>
                <c:pt idx="28">
                  <c:v>184.74704232231633</c:v>
                </c:pt>
                <c:pt idx="29">
                  <c:v>183.11044446565111</c:v>
                </c:pt>
                <c:pt idx="30">
                  <c:v>181.30901524680161</c:v>
                </c:pt>
                <c:pt idx="31">
                  <c:v>179.30007563743757</c:v>
                </c:pt>
                <c:pt idx="32">
                  <c:v>177.02989592424353</c:v>
                </c:pt>
                <c:pt idx="33">
                  <c:v>174.43083440575813</c:v>
                </c:pt>
                <c:pt idx="34">
                  <c:v>171.41773522511468</c:v>
                </c:pt>
                <c:pt idx="35">
                  <c:v>167.88339351014065</c:v>
                </c:pt>
                <c:pt idx="36">
                  <c:v>163.69284632298982</c:v>
                </c:pt>
                <c:pt idx="37">
                  <c:v>158.67618539155725</c:v>
                </c:pt>
                <c:pt idx="38">
                  <c:v>152.61950887441594</c:v>
                </c:pt>
                <c:pt idx="39">
                  <c:v>145.25353030776395</c:v>
                </c:pt>
                <c:pt idx="40">
                  <c:v>136.23923811926878</c:v>
                </c:pt>
                <c:pt idx="41">
                  <c:v>125.14984202562873</c:v>
                </c:pt>
                <c:pt idx="42">
                  <c:v>111.44804489368845</c:v>
                </c:pt>
                <c:pt idx="43">
                  <c:v>94.457429708834567</c:v>
                </c:pt>
                <c:pt idx="44">
                  <c:v>73.326437902400357</c:v>
                </c:pt>
                <c:pt idx="45">
                  <c:v>46.983020752660209</c:v>
                </c:pt>
              </c:numCache>
            </c:numRef>
          </c:yVal>
          <c:smooth val="0"/>
          <c:extLst>
            <c:ext xmlns:c16="http://schemas.microsoft.com/office/drawing/2014/chart" uri="{C3380CC4-5D6E-409C-BE32-E72D297353CC}">
              <c16:uniqueId val="{00000000-9A0D-40D5-84B5-D8897B87ADC6}"/>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9A0D-40D5-84B5-D8897B87ADC6}"/>
            </c:ext>
          </c:extLst>
        </c:ser>
        <c:ser>
          <c:idx val="2"/>
          <c:order val="2"/>
          <c:tx>
            <c:strRef>
              <c:f>'LF Cetacean'!$D$14</c:f>
              <c:strCache>
                <c:ptCount val="1"/>
                <c:pt idx="0">
                  <c:v>168</c:v>
                </c:pt>
              </c:strCache>
            </c:strRef>
          </c:tx>
          <c:spPr>
            <a:ln w="22225" cap="rnd">
              <a:solidFill>
                <a:schemeClr val="accent1"/>
              </a:solidFill>
              <a:round/>
            </a:ln>
            <a:effectLst/>
          </c:spPr>
          <c:marker>
            <c:symbol val="none"/>
          </c:marker>
          <c:xVal>
            <c:numRef>
              <c:f>'LF Cetacean'!$A$15:$A$16</c:f>
              <c:numCache>
                <c:formatCode>General</c:formatCode>
                <c:ptCount val="2"/>
                <c:pt idx="0">
                  <c:v>1</c:v>
                </c:pt>
                <c:pt idx="1">
                  <c:v>5000</c:v>
                </c:pt>
              </c:numCache>
            </c:numRef>
          </c:xVal>
          <c:yVal>
            <c:numRef>
              <c:f>'LF Cetacean'!$D$15:$D$16</c:f>
              <c:numCache>
                <c:formatCode>General</c:formatCode>
                <c:ptCount val="2"/>
                <c:pt idx="0">
                  <c:v>168</c:v>
                </c:pt>
                <c:pt idx="1">
                  <c:v>168</c:v>
                </c:pt>
              </c:numCache>
            </c:numRef>
          </c:yVal>
          <c:smooth val="0"/>
          <c:extLst>
            <c:ext xmlns:c16="http://schemas.microsoft.com/office/drawing/2014/chart" uri="{C3380CC4-5D6E-409C-BE32-E72D297353CC}">
              <c16:uniqueId val="{00000002-04AB-4C2C-BC6E-4DF6AFED2E53}"/>
            </c:ext>
          </c:extLst>
        </c:ser>
        <c:ser>
          <c:idx val="3"/>
          <c:order val="3"/>
          <c:tx>
            <c:strRef>
              <c:f>'LF Cetacean'!$E$14</c:f>
              <c:strCache>
                <c:ptCount val="1"/>
                <c:pt idx="0">
                  <c:v>213</c:v>
                </c:pt>
              </c:strCache>
            </c:strRef>
          </c:tx>
          <c:spPr>
            <a:ln w="22225" cap="rnd">
              <a:solidFill>
                <a:schemeClr val="accent2"/>
              </a:solidFill>
              <a:round/>
            </a:ln>
            <a:effectLst/>
          </c:spPr>
          <c:marker>
            <c:symbol val="none"/>
          </c:marker>
          <c:xVal>
            <c:numRef>
              <c:f>'LF Cetacean'!$A$15:$A$16</c:f>
              <c:numCache>
                <c:formatCode>General</c:formatCode>
                <c:ptCount val="2"/>
                <c:pt idx="0">
                  <c:v>1</c:v>
                </c:pt>
                <c:pt idx="1">
                  <c:v>5000</c:v>
                </c:pt>
              </c:numCache>
            </c:numRef>
          </c:xVal>
          <c:yVal>
            <c:numRef>
              <c:f>'LF Cetacean'!$E$15:$E$16</c:f>
              <c:numCache>
                <c:formatCode>General</c:formatCode>
                <c:ptCount val="2"/>
                <c:pt idx="0">
                  <c:v>213</c:v>
                </c:pt>
                <c:pt idx="1">
                  <c:v>213</c:v>
                </c:pt>
              </c:numCache>
            </c:numRef>
          </c:yVal>
          <c:smooth val="0"/>
          <c:extLst>
            <c:ext xmlns:c16="http://schemas.microsoft.com/office/drawing/2014/chart" uri="{C3380CC4-5D6E-409C-BE32-E72D297353CC}">
              <c16:uniqueId val="{00000003-04AB-4C2C-BC6E-4DF6AFED2E53}"/>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0658294318860972"/>
          <c:y val="0.1290179035973639"/>
          <c:w val="0.30565211806091347"/>
          <c:h val="5.596546538459944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PTS Mid Frequency Cetacean</a:t>
            </a:r>
          </a:p>
          <a:p>
            <a:pPr>
              <a:defRPr/>
            </a:pPr>
            <a:r>
              <a:rPr lang="en-US"/>
              <a:t>based on NMFS 2018</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Calcs!$AK$6:$AK$51</c:f>
              <c:numCache>
                <c:formatCode>0.0</c:formatCode>
                <c:ptCount val="46"/>
                <c:pt idx="0">
                  <c:v>195.46737222419139</c:v>
                </c:pt>
                <c:pt idx="1">
                  <c:v>194.46636328458203</c:v>
                </c:pt>
                <c:pt idx="2">
                  <c:v>193.46509310486883</c:v>
                </c:pt>
                <c:pt idx="3">
                  <c:v>192.46349404335035</c:v>
                </c:pt>
                <c:pt idx="4">
                  <c:v>191.46148094416969</c:v>
                </c:pt>
                <c:pt idx="5">
                  <c:v>190.45894660245474</c:v>
                </c:pt>
                <c:pt idx="6">
                  <c:v>189.45575605526759</c:v>
                </c:pt>
                <c:pt idx="7">
                  <c:v>188.45173939433616</c:v>
                </c:pt>
                <c:pt idx="8">
                  <c:v>187.44668271781902</c:v>
                </c:pt>
                <c:pt idx="9">
                  <c:v>186.44031673925235</c:v>
                </c:pt>
                <c:pt idx="10">
                  <c:v>185.43230244706385</c:v>
                </c:pt>
                <c:pt idx="11">
                  <c:v>184.42221305097021</c:v>
                </c:pt>
                <c:pt idx="12">
                  <c:v>183.40951125383828</c:v>
                </c:pt>
                <c:pt idx="13">
                  <c:v>182.39352063865343</c:v>
                </c:pt>
                <c:pt idx="14">
                  <c:v>181.37338964684699</c:v>
                </c:pt>
                <c:pt idx="15">
                  <c:v>180.34804622969725</c:v>
                </c:pt>
                <c:pt idx="16">
                  <c:v>179.31614075782574</c:v>
                </c:pt>
                <c:pt idx="17">
                  <c:v>178.27597414851141</c:v>
                </c:pt>
                <c:pt idx="18">
                  <c:v>177.22540738334001</c:v>
                </c:pt>
                <c:pt idx="19">
                  <c:v>176.1617475976735</c:v>
                </c:pt>
                <c:pt idx="20">
                  <c:v>175.08160467578853</c:v>
                </c:pt>
                <c:pt idx="21">
                  <c:v>173.98071071485214</c:v>
                </c:pt>
                <c:pt idx="22">
                  <c:v>172.85369274353272</c:v>
                </c:pt>
                <c:pt idx="23">
                  <c:v>171.69378659168419</c:v>
                </c:pt>
                <c:pt idx="24">
                  <c:v>170.49247667361985</c:v>
                </c:pt>
                <c:pt idx="25">
                  <c:v>169.23904250212243</c:v>
                </c:pt>
                <c:pt idx="26">
                  <c:v>167.91998778340735</c:v>
                </c:pt>
                <c:pt idx="27">
                  <c:v>166.51832169026406</c:v>
                </c:pt>
                <c:pt idx="28">
                  <c:v>165.01265403854995</c:v>
                </c:pt>
                <c:pt idx="29">
                  <c:v>163.37605618188473</c:v>
                </c:pt>
                <c:pt idx="30">
                  <c:v>161.57462696303523</c:v>
                </c:pt>
                <c:pt idx="31">
                  <c:v>159.56568735367119</c:v>
                </c:pt>
                <c:pt idx="32">
                  <c:v>157.29550764047715</c:v>
                </c:pt>
                <c:pt idx="33">
                  <c:v>154.69644612199176</c:v>
                </c:pt>
                <c:pt idx="34">
                  <c:v>151.6833469413483</c:v>
                </c:pt>
                <c:pt idx="35">
                  <c:v>148.14900522637427</c:v>
                </c:pt>
                <c:pt idx="36">
                  <c:v>143.95845803922344</c:v>
                </c:pt>
                <c:pt idx="37">
                  <c:v>138.94179710779088</c:v>
                </c:pt>
                <c:pt idx="38">
                  <c:v>132.88512059064956</c:v>
                </c:pt>
                <c:pt idx="39">
                  <c:v>125.51914202399757</c:v>
                </c:pt>
                <c:pt idx="40">
                  <c:v>116.5048498355024</c:v>
                </c:pt>
                <c:pt idx="41">
                  <c:v>105.41545374186234</c:v>
                </c:pt>
                <c:pt idx="42">
                  <c:v>91.713656609922054</c:v>
                </c:pt>
                <c:pt idx="43">
                  <c:v>74.723041425068175</c:v>
                </c:pt>
                <c:pt idx="44">
                  <c:v>53.592049618633972</c:v>
                </c:pt>
                <c:pt idx="45">
                  <c:v>27.248632468893824</c:v>
                </c:pt>
              </c:numCache>
            </c:numRef>
          </c:yVal>
          <c:smooth val="0"/>
          <c:extLst>
            <c:ext xmlns:c16="http://schemas.microsoft.com/office/drawing/2014/chart" uri="{C3380CC4-5D6E-409C-BE32-E72D297353CC}">
              <c16:uniqueId val="{00000000-7A9E-4EAB-9113-5D02D26AB7FA}"/>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7A9E-4EAB-9113-5D02D26AB7FA}"/>
            </c:ext>
          </c:extLst>
        </c:ser>
        <c:ser>
          <c:idx val="2"/>
          <c:order val="2"/>
          <c:tx>
            <c:strRef>
              <c:f>'MF Cetacean'!$B$14</c:f>
              <c:strCache>
                <c:ptCount val="1"/>
                <c:pt idx="0">
                  <c:v>185</c:v>
                </c:pt>
              </c:strCache>
            </c:strRef>
          </c:tx>
          <c:spPr>
            <a:ln w="22225" cap="rnd">
              <a:solidFill>
                <a:schemeClr val="accent1"/>
              </a:solidFill>
              <a:round/>
            </a:ln>
            <a:effectLst/>
          </c:spPr>
          <c:marker>
            <c:symbol val="none"/>
          </c:marker>
          <c:xVal>
            <c:numRef>
              <c:f>'MF Cetacean'!$A$15:$A$16</c:f>
              <c:numCache>
                <c:formatCode>General</c:formatCode>
                <c:ptCount val="2"/>
                <c:pt idx="0">
                  <c:v>1</c:v>
                </c:pt>
                <c:pt idx="1">
                  <c:v>5000</c:v>
                </c:pt>
              </c:numCache>
            </c:numRef>
          </c:xVal>
          <c:yVal>
            <c:numRef>
              <c:f>'MF Cetacean'!$B$15:$B$16</c:f>
              <c:numCache>
                <c:formatCode>General</c:formatCode>
                <c:ptCount val="2"/>
                <c:pt idx="0">
                  <c:v>185</c:v>
                </c:pt>
                <c:pt idx="1">
                  <c:v>185</c:v>
                </c:pt>
              </c:numCache>
            </c:numRef>
          </c:yVal>
          <c:smooth val="0"/>
          <c:extLst>
            <c:ext xmlns:c16="http://schemas.microsoft.com/office/drawing/2014/chart" uri="{C3380CC4-5D6E-409C-BE32-E72D297353CC}">
              <c16:uniqueId val="{00000000-23BD-453F-8829-63A7B8898BA0}"/>
            </c:ext>
          </c:extLst>
        </c:ser>
        <c:ser>
          <c:idx val="3"/>
          <c:order val="3"/>
          <c:tx>
            <c:strRef>
              <c:f>'MF Cetacean'!$C$14</c:f>
              <c:strCache>
                <c:ptCount val="1"/>
                <c:pt idx="0">
                  <c:v>230</c:v>
                </c:pt>
              </c:strCache>
            </c:strRef>
          </c:tx>
          <c:spPr>
            <a:ln w="22225" cap="rnd">
              <a:solidFill>
                <a:schemeClr val="accent2"/>
              </a:solidFill>
              <a:round/>
            </a:ln>
            <a:effectLst/>
          </c:spPr>
          <c:marker>
            <c:symbol val="none"/>
          </c:marker>
          <c:xVal>
            <c:numRef>
              <c:f>'MF Cetacean'!$A$15:$A$16</c:f>
              <c:numCache>
                <c:formatCode>General</c:formatCode>
                <c:ptCount val="2"/>
                <c:pt idx="0">
                  <c:v>1</c:v>
                </c:pt>
                <c:pt idx="1">
                  <c:v>5000</c:v>
                </c:pt>
              </c:numCache>
            </c:numRef>
          </c:xVal>
          <c:yVal>
            <c:numRef>
              <c:f>'MF Cetacean'!$C$15:$C$16</c:f>
              <c:numCache>
                <c:formatCode>General</c:formatCode>
                <c:ptCount val="2"/>
                <c:pt idx="0">
                  <c:v>230</c:v>
                </c:pt>
                <c:pt idx="1">
                  <c:v>230</c:v>
                </c:pt>
              </c:numCache>
            </c:numRef>
          </c:yVal>
          <c:smooth val="0"/>
          <c:extLst>
            <c:ext xmlns:c16="http://schemas.microsoft.com/office/drawing/2014/chart" uri="{C3380CC4-5D6E-409C-BE32-E72D297353CC}">
              <c16:uniqueId val="{00000001-23BD-453F-8829-63A7B8898BA0}"/>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0686830727765551"/>
          <c:y val="0.1290179035973639"/>
          <c:w val="0.30377537529476717"/>
          <c:h val="5.596546538459944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Behavior Mid Frequency Cetacean</a:t>
            </a:r>
          </a:p>
          <a:p>
            <a:pPr>
              <a:defRPr/>
            </a:pPr>
            <a:r>
              <a:rPr lang="en-US"/>
              <a:t>based on </a:t>
            </a:r>
            <a:r>
              <a:rPr lang="en-US" sz="1200" b="0" i="0" u="none" strike="noStrike" baseline="0">
                <a:effectLst/>
              </a:rPr>
              <a:t>FR 2005</a:t>
            </a:r>
            <a:endParaRPr lang="en-US"/>
          </a:p>
        </c:rich>
      </c:tx>
      <c:layout>
        <c:manualLayout>
          <c:xMode val="edge"/>
          <c:yMode val="edge"/>
          <c:x val="0.24684394919385072"/>
          <c:y val="3.105132691746865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A7A3-44E0-9FCD-0A2D1C6BB9DB}"/>
            </c:ext>
          </c:extLst>
        </c:ser>
        <c:ser>
          <c:idx val="0"/>
          <c:order val="1"/>
          <c:tx>
            <c:strRef>
              <c:f>'MF Cetacean'!$F$14</c:f>
              <c:strCache>
                <c:ptCount val="1"/>
                <c:pt idx="0">
                  <c:v>160</c:v>
                </c:pt>
              </c:strCache>
            </c:strRef>
          </c:tx>
          <c:spPr>
            <a:ln w="22225" cap="rnd">
              <a:solidFill>
                <a:schemeClr val="bg1">
                  <a:lumMod val="65000"/>
                </a:schemeClr>
              </a:solidFill>
              <a:round/>
            </a:ln>
            <a:effectLst/>
          </c:spPr>
          <c:marker>
            <c:symbol val="none"/>
          </c:marker>
          <c:xVal>
            <c:numRef>
              <c:f>'MF Cetacean'!$A$15:$A$16</c:f>
              <c:numCache>
                <c:formatCode>General</c:formatCode>
                <c:ptCount val="2"/>
                <c:pt idx="0">
                  <c:v>1</c:v>
                </c:pt>
                <c:pt idx="1">
                  <c:v>5000</c:v>
                </c:pt>
              </c:numCache>
            </c:numRef>
          </c:xVal>
          <c:yVal>
            <c:numRef>
              <c:f>'MF Cetacean'!$F$15:$F$16</c:f>
              <c:numCache>
                <c:formatCode>General</c:formatCode>
                <c:ptCount val="2"/>
                <c:pt idx="0">
                  <c:v>160</c:v>
                </c:pt>
                <c:pt idx="1">
                  <c:v>160</c:v>
                </c:pt>
              </c:numCache>
            </c:numRef>
          </c:yVal>
          <c:smooth val="0"/>
          <c:extLst>
            <c:ext xmlns:c16="http://schemas.microsoft.com/office/drawing/2014/chart" uri="{C3380CC4-5D6E-409C-BE32-E72D297353CC}">
              <c16:uniqueId val="{00000000-C870-48E7-BC66-0508178CE654}"/>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3853866086491748"/>
          <c:y val="0.13217288811120831"/>
          <c:w val="0.17533436386590204"/>
          <c:h val="5.58114610673665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a:t>
            </a:r>
            <a:r>
              <a:rPr lang="en-US" sz="1200" b="0" i="0" u="none" strike="noStrike" baseline="0">
                <a:effectLst/>
              </a:rPr>
              <a:t>Behavior Fish </a:t>
            </a:r>
            <a:r>
              <a:rPr lang="en-US"/>
              <a:t> </a:t>
            </a:r>
          </a:p>
          <a:p>
            <a:pPr>
              <a:defRPr/>
            </a:pPr>
            <a:r>
              <a:rPr lang="en-US"/>
              <a:t>based on NMFS 2016</a:t>
            </a:r>
          </a:p>
        </c:rich>
      </c:tx>
      <c:layout>
        <c:manualLayout>
          <c:xMode val="edge"/>
          <c:yMode val="edge"/>
          <c:x val="0.34357013967004124"/>
          <c:y val="3.1051709164312932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50AE-4401-8F56-48EF1D9ACDDF}"/>
            </c:ext>
          </c:extLst>
        </c:ser>
        <c:ser>
          <c:idx val="0"/>
          <c:order val="1"/>
          <c:tx>
            <c:strRef>
              <c:f>'Fishes SB0'!$I$15</c:f>
              <c:strCache>
                <c:ptCount val="1"/>
                <c:pt idx="0">
                  <c:v>150</c:v>
                </c:pt>
              </c:strCache>
            </c:strRef>
          </c:tx>
          <c:spPr>
            <a:ln w="22225" cap="rnd">
              <a:solidFill>
                <a:schemeClr val="bg1">
                  <a:lumMod val="50000"/>
                </a:schemeClr>
              </a:solidFill>
              <a:round/>
            </a:ln>
            <a:effectLst/>
          </c:spPr>
          <c:marker>
            <c:symbol val="none"/>
          </c:marker>
          <c:xVal>
            <c:numRef>
              <c:f>'Fishes SB0'!$A$16:$A$17</c:f>
              <c:numCache>
                <c:formatCode>General</c:formatCode>
                <c:ptCount val="2"/>
                <c:pt idx="0">
                  <c:v>1</c:v>
                </c:pt>
                <c:pt idx="1">
                  <c:v>5000</c:v>
                </c:pt>
              </c:numCache>
            </c:numRef>
          </c:xVal>
          <c:yVal>
            <c:numRef>
              <c:f>'Fishes SB0'!$I$16:$I$17</c:f>
              <c:numCache>
                <c:formatCode>General</c:formatCode>
                <c:ptCount val="2"/>
                <c:pt idx="0">
                  <c:v>150</c:v>
                </c:pt>
                <c:pt idx="1">
                  <c:v>150</c:v>
                </c:pt>
              </c:numCache>
            </c:numRef>
          </c:yVal>
          <c:smooth val="0"/>
          <c:extLst>
            <c:ext xmlns:c16="http://schemas.microsoft.com/office/drawing/2014/chart" uri="{C3380CC4-5D6E-409C-BE32-E72D297353CC}">
              <c16:uniqueId val="{00000001-0627-449D-81CA-3B48215EA68C}"/>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5565389235569891"/>
          <c:y val="0.13217270031530931"/>
          <c:w val="0.16268945529892731"/>
          <c:h val="5.61505367300154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TTS Mid Frequency Cetacean</a:t>
            </a:r>
          </a:p>
          <a:p>
            <a:pPr>
              <a:defRPr/>
            </a:pPr>
            <a:r>
              <a:rPr lang="en-US"/>
              <a:t>Based on NMFS 2018</a:t>
            </a:r>
          </a:p>
        </c:rich>
      </c:tx>
      <c:layout>
        <c:manualLayout>
          <c:xMode val="edge"/>
          <c:yMode val="edge"/>
          <c:x val="0.25363333489563805"/>
          <c:y val="6.2103418328625865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Calcs!$AM$6:$AM$51</c:f>
              <c:numCache>
                <c:formatCode>0.0</c:formatCode>
                <c:ptCount val="46"/>
                <c:pt idx="0">
                  <c:v>195.46737222419139</c:v>
                </c:pt>
                <c:pt idx="1">
                  <c:v>194.46636328458203</c:v>
                </c:pt>
                <c:pt idx="2">
                  <c:v>193.46509310486883</c:v>
                </c:pt>
                <c:pt idx="3">
                  <c:v>192.46349404335035</c:v>
                </c:pt>
                <c:pt idx="4">
                  <c:v>191.46148094416969</c:v>
                </c:pt>
                <c:pt idx="5">
                  <c:v>190.45894660245474</c:v>
                </c:pt>
                <c:pt idx="6">
                  <c:v>189.45575605526759</c:v>
                </c:pt>
                <c:pt idx="7">
                  <c:v>188.45173939433616</c:v>
                </c:pt>
                <c:pt idx="8">
                  <c:v>187.44668271781902</c:v>
                </c:pt>
                <c:pt idx="9">
                  <c:v>186.44031673925235</c:v>
                </c:pt>
                <c:pt idx="10">
                  <c:v>185.43230244706385</c:v>
                </c:pt>
                <c:pt idx="11">
                  <c:v>184.42221305097021</c:v>
                </c:pt>
                <c:pt idx="12">
                  <c:v>183.40951125383828</c:v>
                </c:pt>
                <c:pt idx="13">
                  <c:v>182.39352063865343</c:v>
                </c:pt>
                <c:pt idx="14">
                  <c:v>181.37338964684699</c:v>
                </c:pt>
                <c:pt idx="15">
                  <c:v>180.34804622969725</c:v>
                </c:pt>
                <c:pt idx="16">
                  <c:v>179.31614075782574</c:v>
                </c:pt>
                <c:pt idx="17">
                  <c:v>178.27597414851141</c:v>
                </c:pt>
                <c:pt idx="18">
                  <c:v>177.22540738334001</c:v>
                </c:pt>
                <c:pt idx="19">
                  <c:v>176.1617475976735</c:v>
                </c:pt>
                <c:pt idx="20">
                  <c:v>175.08160467578853</c:v>
                </c:pt>
                <c:pt idx="21">
                  <c:v>173.98071071485214</c:v>
                </c:pt>
                <c:pt idx="22">
                  <c:v>172.85369274353272</c:v>
                </c:pt>
                <c:pt idx="23">
                  <c:v>171.69378659168419</c:v>
                </c:pt>
                <c:pt idx="24">
                  <c:v>170.49247667361985</c:v>
                </c:pt>
                <c:pt idx="25">
                  <c:v>169.23904250212243</c:v>
                </c:pt>
                <c:pt idx="26">
                  <c:v>167.91998778340735</c:v>
                </c:pt>
                <c:pt idx="27">
                  <c:v>166.51832169026406</c:v>
                </c:pt>
                <c:pt idx="28">
                  <c:v>165.01265403854995</c:v>
                </c:pt>
                <c:pt idx="29">
                  <c:v>163.37605618188473</c:v>
                </c:pt>
                <c:pt idx="30">
                  <c:v>161.57462696303523</c:v>
                </c:pt>
                <c:pt idx="31">
                  <c:v>159.56568735367119</c:v>
                </c:pt>
                <c:pt idx="32">
                  <c:v>157.29550764047715</c:v>
                </c:pt>
                <c:pt idx="33">
                  <c:v>154.69644612199176</c:v>
                </c:pt>
                <c:pt idx="34">
                  <c:v>151.6833469413483</c:v>
                </c:pt>
                <c:pt idx="35">
                  <c:v>148.14900522637427</c:v>
                </c:pt>
                <c:pt idx="36">
                  <c:v>143.95845803922344</c:v>
                </c:pt>
                <c:pt idx="37">
                  <c:v>138.94179710779088</c:v>
                </c:pt>
                <c:pt idx="38">
                  <c:v>132.88512059064956</c:v>
                </c:pt>
                <c:pt idx="39">
                  <c:v>125.51914202399757</c:v>
                </c:pt>
                <c:pt idx="40">
                  <c:v>116.5048498355024</c:v>
                </c:pt>
                <c:pt idx="41">
                  <c:v>105.41545374186234</c:v>
                </c:pt>
                <c:pt idx="42">
                  <c:v>91.713656609922054</c:v>
                </c:pt>
                <c:pt idx="43">
                  <c:v>74.723041425068175</c:v>
                </c:pt>
                <c:pt idx="44">
                  <c:v>53.592049618633972</c:v>
                </c:pt>
                <c:pt idx="45">
                  <c:v>27.248632468893824</c:v>
                </c:pt>
              </c:numCache>
            </c:numRef>
          </c:yVal>
          <c:smooth val="0"/>
          <c:extLst>
            <c:ext xmlns:c16="http://schemas.microsoft.com/office/drawing/2014/chart" uri="{C3380CC4-5D6E-409C-BE32-E72D297353CC}">
              <c16:uniqueId val="{00000000-E405-473F-813F-942CFF7EE1E8}"/>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E405-473F-813F-942CFF7EE1E8}"/>
            </c:ext>
          </c:extLst>
        </c:ser>
        <c:ser>
          <c:idx val="2"/>
          <c:order val="2"/>
          <c:tx>
            <c:strRef>
              <c:f>'MF Cetacean'!$D$14</c:f>
              <c:strCache>
                <c:ptCount val="1"/>
                <c:pt idx="0">
                  <c:v>170</c:v>
                </c:pt>
              </c:strCache>
            </c:strRef>
          </c:tx>
          <c:spPr>
            <a:ln w="22225" cap="rnd">
              <a:solidFill>
                <a:schemeClr val="accent1"/>
              </a:solidFill>
              <a:round/>
            </a:ln>
            <a:effectLst/>
          </c:spPr>
          <c:marker>
            <c:symbol val="none"/>
          </c:marker>
          <c:xVal>
            <c:numRef>
              <c:f>'MF Cetacean'!$A$15:$A$16</c:f>
              <c:numCache>
                <c:formatCode>General</c:formatCode>
                <c:ptCount val="2"/>
                <c:pt idx="0">
                  <c:v>1</c:v>
                </c:pt>
                <c:pt idx="1">
                  <c:v>5000</c:v>
                </c:pt>
              </c:numCache>
            </c:numRef>
          </c:xVal>
          <c:yVal>
            <c:numRef>
              <c:f>'MF Cetacean'!$D$15:$D$16</c:f>
              <c:numCache>
                <c:formatCode>General</c:formatCode>
                <c:ptCount val="2"/>
                <c:pt idx="0">
                  <c:v>170</c:v>
                </c:pt>
                <c:pt idx="1">
                  <c:v>170</c:v>
                </c:pt>
              </c:numCache>
            </c:numRef>
          </c:yVal>
          <c:smooth val="0"/>
          <c:extLst>
            <c:ext xmlns:c16="http://schemas.microsoft.com/office/drawing/2014/chart" uri="{C3380CC4-5D6E-409C-BE32-E72D297353CC}">
              <c16:uniqueId val="{00000000-CCC1-49D2-94FC-1950A4C180FA}"/>
            </c:ext>
          </c:extLst>
        </c:ser>
        <c:ser>
          <c:idx val="3"/>
          <c:order val="3"/>
          <c:tx>
            <c:strRef>
              <c:f>'MF Cetacean'!$E$14</c:f>
              <c:strCache>
                <c:ptCount val="1"/>
                <c:pt idx="0">
                  <c:v>224</c:v>
                </c:pt>
              </c:strCache>
            </c:strRef>
          </c:tx>
          <c:spPr>
            <a:ln w="22225" cap="rnd">
              <a:solidFill>
                <a:schemeClr val="accent2"/>
              </a:solidFill>
              <a:round/>
            </a:ln>
            <a:effectLst/>
          </c:spPr>
          <c:marker>
            <c:symbol val="none"/>
          </c:marker>
          <c:xVal>
            <c:numRef>
              <c:f>'MF Cetacean'!$A$15:$A$16</c:f>
              <c:numCache>
                <c:formatCode>General</c:formatCode>
                <c:ptCount val="2"/>
                <c:pt idx="0">
                  <c:v>1</c:v>
                </c:pt>
                <c:pt idx="1">
                  <c:v>5000</c:v>
                </c:pt>
              </c:numCache>
            </c:numRef>
          </c:xVal>
          <c:yVal>
            <c:numRef>
              <c:f>'MF Cetacean'!$E$15:$E$16</c:f>
              <c:numCache>
                <c:formatCode>General</c:formatCode>
                <c:ptCount val="2"/>
                <c:pt idx="0">
                  <c:v>224</c:v>
                </c:pt>
                <c:pt idx="1">
                  <c:v>224</c:v>
                </c:pt>
              </c:numCache>
            </c:numRef>
          </c:yVal>
          <c:smooth val="0"/>
          <c:extLst>
            <c:ext xmlns:c16="http://schemas.microsoft.com/office/drawing/2014/chart" uri="{C3380CC4-5D6E-409C-BE32-E72D297353CC}">
              <c16:uniqueId val="{00000001-CCC1-49D2-94FC-1950A4C180FA}"/>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0188439119895365"/>
          <c:y val="0.1290179035973639"/>
          <c:w val="0.30875929137346914"/>
          <c:h val="5.596546538459944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PTS High Frequency Cetacean</a:t>
            </a:r>
          </a:p>
          <a:p>
            <a:pPr>
              <a:defRPr/>
            </a:pPr>
            <a:r>
              <a:rPr lang="en-US"/>
              <a:t>based on NMFS 2018</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Calcs!$AR$6:$AR$51</c:f>
              <c:numCache>
                <c:formatCode>0.0</c:formatCode>
                <c:ptCount val="46"/>
                <c:pt idx="0">
                  <c:v>188.34128401391231</c:v>
                </c:pt>
                <c:pt idx="1">
                  <c:v>187.34027507430295</c:v>
                </c:pt>
                <c:pt idx="2">
                  <c:v>186.33900489458975</c:v>
                </c:pt>
                <c:pt idx="3">
                  <c:v>185.33740583307127</c:v>
                </c:pt>
                <c:pt idx="4">
                  <c:v>184.33539273389061</c:v>
                </c:pt>
                <c:pt idx="5">
                  <c:v>183.33285839217567</c:v>
                </c:pt>
                <c:pt idx="6">
                  <c:v>182.32966784498851</c:v>
                </c:pt>
                <c:pt idx="7">
                  <c:v>181.32565118405708</c:v>
                </c:pt>
                <c:pt idx="8">
                  <c:v>180.32059450753994</c:v>
                </c:pt>
                <c:pt idx="9">
                  <c:v>179.31422852897327</c:v>
                </c:pt>
                <c:pt idx="10">
                  <c:v>178.30621423678477</c:v>
                </c:pt>
                <c:pt idx="11">
                  <c:v>177.29612484069114</c:v>
                </c:pt>
                <c:pt idx="12">
                  <c:v>176.2834230435592</c:v>
                </c:pt>
                <c:pt idx="13">
                  <c:v>175.26743242837435</c:v>
                </c:pt>
                <c:pt idx="14">
                  <c:v>174.24730143656791</c:v>
                </c:pt>
                <c:pt idx="15">
                  <c:v>173.22195801941817</c:v>
                </c:pt>
                <c:pt idx="16">
                  <c:v>172.19005254754666</c:v>
                </c:pt>
                <c:pt idx="17">
                  <c:v>171.14988593823233</c:v>
                </c:pt>
                <c:pt idx="18">
                  <c:v>170.09931917306093</c:v>
                </c:pt>
                <c:pt idx="19">
                  <c:v>169.03565938739442</c:v>
                </c:pt>
                <c:pt idx="20">
                  <c:v>167.95551646550945</c:v>
                </c:pt>
                <c:pt idx="21">
                  <c:v>166.85462250457306</c:v>
                </c:pt>
                <c:pt idx="22">
                  <c:v>165.72760453325364</c:v>
                </c:pt>
                <c:pt idx="23">
                  <c:v>164.56769838140511</c:v>
                </c:pt>
                <c:pt idx="24">
                  <c:v>163.36638846334077</c:v>
                </c:pt>
                <c:pt idx="25">
                  <c:v>162.11295429184335</c:v>
                </c:pt>
                <c:pt idx="26">
                  <c:v>160.79389957312827</c:v>
                </c:pt>
                <c:pt idx="27">
                  <c:v>159.39223347998498</c:v>
                </c:pt>
                <c:pt idx="28">
                  <c:v>157.88656582827088</c:v>
                </c:pt>
                <c:pt idx="29">
                  <c:v>156.24996797160566</c:v>
                </c:pt>
                <c:pt idx="30">
                  <c:v>154.44853875275615</c:v>
                </c:pt>
                <c:pt idx="31">
                  <c:v>152.43959914339212</c:v>
                </c:pt>
                <c:pt idx="32">
                  <c:v>150.16941943019808</c:v>
                </c:pt>
                <c:pt idx="33">
                  <c:v>147.57035791171268</c:v>
                </c:pt>
                <c:pt idx="34">
                  <c:v>144.55725873106923</c:v>
                </c:pt>
                <c:pt idx="35">
                  <c:v>141.02291701609519</c:v>
                </c:pt>
                <c:pt idx="36">
                  <c:v>136.83236982894437</c:v>
                </c:pt>
                <c:pt idx="37">
                  <c:v>131.8157088975118</c:v>
                </c:pt>
                <c:pt idx="38">
                  <c:v>125.75903238037048</c:v>
                </c:pt>
                <c:pt idx="39">
                  <c:v>118.3930538137185</c:v>
                </c:pt>
                <c:pt idx="40">
                  <c:v>109.37876162522332</c:v>
                </c:pt>
                <c:pt idx="41">
                  <c:v>98.289365531583258</c:v>
                </c:pt>
                <c:pt idx="42">
                  <c:v>84.587568399642976</c:v>
                </c:pt>
                <c:pt idx="43">
                  <c:v>67.596953214789096</c:v>
                </c:pt>
                <c:pt idx="44">
                  <c:v>46.465961408354886</c:v>
                </c:pt>
                <c:pt idx="45">
                  <c:v>20.122544258614738</c:v>
                </c:pt>
              </c:numCache>
            </c:numRef>
          </c:yVal>
          <c:smooth val="0"/>
          <c:extLst>
            <c:ext xmlns:c16="http://schemas.microsoft.com/office/drawing/2014/chart" uri="{C3380CC4-5D6E-409C-BE32-E72D297353CC}">
              <c16:uniqueId val="{00000000-BB67-499B-91E9-97FC263227CD}"/>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BB67-499B-91E9-97FC263227CD}"/>
            </c:ext>
          </c:extLst>
        </c:ser>
        <c:ser>
          <c:idx val="2"/>
          <c:order val="2"/>
          <c:tx>
            <c:strRef>
              <c:f>'HF Cetacean'!$B$13</c:f>
              <c:strCache>
                <c:ptCount val="1"/>
                <c:pt idx="0">
                  <c:v>155</c:v>
                </c:pt>
              </c:strCache>
            </c:strRef>
          </c:tx>
          <c:spPr>
            <a:ln w="22225" cap="rnd">
              <a:solidFill>
                <a:schemeClr val="accent1"/>
              </a:solidFill>
              <a:round/>
            </a:ln>
            <a:effectLst/>
          </c:spPr>
          <c:marker>
            <c:symbol val="none"/>
          </c:marker>
          <c:xVal>
            <c:numRef>
              <c:f>'HF Cetacean'!$A$14:$A$15</c:f>
              <c:numCache>
                <c:formatCode>General</c:formatCode>
                <c:ptCount val="2"/>
                <c:pt idx="0">
                  <c:v>1</c:v>
                </c:pt>
                <c:pt idx="1">
                  <c:v>5000</c:v>
                </c:pt>
              </c:numCache>
            </c:numRef>
          </c:xVal>
          <c:yVal>
            <c:numRef>
              <c:f>'HF Cetacean'!$B$14:$B$15</c:f>
              <c:numCache>
                <c:formatCode>General</c:formatCode>
                <c:ptCount val="2"/>
                <c:pt idx="0">
                  <c:v>155</c:v>
                </c:pt>
                <c:pt idx="1">
                  <c:v>155</c:v>
                </c:pt>
              </c:numCache>
            </c:numRef>
          </c:yVal>
          <c:smooth val="0"/>
          <c:extLst>
            <c:ext xmlns:c16="http://schemas.microsoft.com/office/drawing/2014/chart" uri="{C3380CC4-5D6E-409C-BE32-E72D297353CC}">
              <c16:uniqueId val="{00000000-49D3-4FD0-AEDC-5DD6F44C358F}"/>
            </c:ext>
          </c:extLst>
        </c:ser>
        <c:ser>
          <c:idx val="3"/>
          <c:order val="3"/>
          <c:tx>
            <c:strRef>
              <c:f>'HF Cetacean'!$C$13</c:f>
              <c:strCache>
                <c:ptCount val="1"/>
                <c:pt idx="0">
                  <c:v>202</c:v>
                </c:pt>
              </c:strCache>
            </c:strRef>
          </c:tx>
          <c:spPr>
            <a:ln w="22225" cap="rnd">
              <a:solidFill>
                <a:schemeClr val="accent2"/>
              </a:solidFill>
              <a:round/>
            </a:ln>
            <a:effectLst/>
          </c:spPr>
          <c:marker>
            <c:symbol val="none"/>
          </c:marker>
          <c:xVal>
            <c:numRef>
              <c:f>'HF Cetacean'!$A$14:$A$15</c:f>
              <c:numCache>
                <c:formatCode>General</c:formatCode>
                <c:ptCount val="2"/>
                <c:pt idx="0">
                  <c:v>1</c:v>
                </c:pt>
                <c:pt idx="1">
                  <c:v>5000</c:v>
                </c:pt>
              </c:numCache>
            </c:numRef>
          </c:xVal>
          <c:yVal>
            <c:numRef>
              <c:f>'HF Cetacean'!$C$14:$C$15</c:f>
              <c:numCache>
                <c:formatCode>General</c:formatCode>
                <c:ptCount val="2"/>
                <c:pt idx="0">
                  <c:v>202</c:v>
                </c:pt>
                <c:pt idx="1">
                  <c:v>202</c:v>
                </c:pt>
              </c:numCache>
            </c:numRef>
          </c:yVal>
          <c:smooth val="0"/>
          <c:extLst>
            <c:ext xmlns:c16="http://schemas.microsoft.com/office/drawing/2014/chart" uri="{C3380CC4-5D6E-409C-BE32-E72D297353CC}">
              <c16:uniqueId val="{00000001-49D3-4FD0-AEDC-5DD6F44C358F}"/>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0188427309892578"/>
          <c:y val="0.13518293104724641"/>
          <c:w val="0.30875923078960715"/>
          <c:h val="5.574108706442604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Behavior High Frequency Cetacean</a:t>
            </a:r>
          </a:p>
          <a:p>
            <a:pPr>
              <a:defRPr/>
            </a:pPr>
            <a:r>
              <a:rPr lang="en-US"/>
              <a:t>based on </a:t>
            </a:r>
            <a:r>
              <a:rPr lang="en-US" sz="1200" b="0" i="0" u="none" strike="noStrike" baseline="0">
                <a:effectLst/>
              </a:rPr>
              <a:t>FR 2005</a:t>
            </a:r>
            <a:endParaRPr lang="en-US"/>
          </a:p>
        </c:rich>
      </c:tx>
      <c:layout>
        <c:manualLayout>
          <c:xMode val="edge"/>
          <c:yMode val="edge"/>
          <c:x val="0.24684394919385072"/>
          <c:y val="3.105132691746865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21F3-488C-BD45-CB9B40EEBD2C}"/>
            </c:ext>
          </c:extLst>
        </c:ser>
        <c:ser>
          <c:idx val="0"/>
          <c:order val="1"/>
          <c:tx>
            <c:strRef>
              <c:f>'HF Cetacean'!$F$13</c:f>
              <c:strCache>
                <c:ptCount val="1"/>
                <c:pt idx="0">
                  <c:v>160</c:v>
                </c:pt>
              </c:strCache>
            </c:strRef>
          </c:tx>
          <c:spPr>
            <a:ln w="22225" cap="rnd">
              <a:solidFill>
                <a:schemeClr val="bg1">
                  <a:lumMod val="65000"/>
                </a:schemeClr>
              </a:solidFill>
              <a:round/>
            </a:ln>
            <a:effectLst/>
          </c:spPr>
          <c:marker>
            <c:symbol val="none"/>
          </c:marker>
          <c:xVal>
            <c:numRef>
              <c:f>'HF Cetacean'!$A$14:$A$15</c:f>
              <c:numCache>
                <c:formatCode>General</c:formatCode>
                <c:ptCount val="2"/>
                <c:pt idx="0">
                  <c:v>1</c:v>
                </c:pt>
                <c:pt idx="1">
                  <c:v>5000</c:v>
                </c:pt>
              </c:numCache>
            </c:numRef>
          </c:xVal>
          <c:yVal>
            <c:numRef>
              <c:f>'HF Cetacean'!$F$14:$F$15</c:f>
              <c:numCache>
                <c:formatCode>General</c:formatCode>
                <c:ptCount val="2"/>
                <c:pt idx="0">
                  <c:v>160</c:v>
                </c:pt>
                <c:pt idx="1">
                  <c:v>160</c:v>
                </c:pt>
              </c:numCache>
            </c:numRef>
          </c:yVal>
          <c:smooth val="0"/>
          <c:extLst>
            <c:ext xmlns:c16="http://schemas.microsoft.com/office/drawing/2014/chart" uri="{C3380CC4-5D6E-409C-BE32-E72D297353CC}">
              <c16:uniqueId val="{00000000-EA87-47A9-B94F-733E7159F5CB}"/>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6096633012158599"/>
          <c:y val="0.13217288811120831"/>
          <c:w val="0.15041475395843532"/>
          <c:h val="5.58114610673665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TTS High Frequency Cetacean</a:t>
            </a:r>
          </a:p>
          <a:p>
            <a:pPr>
              <a:defRPr/>
            </a:pPr>
            <a:r>
              <a:rPr lang="en-US"/>
              <a:t>Based on NMFS 2018</a:t>
            </a:r>
          </a:p>
        </c:rich>
      </c:tx>
      <c:layout>
        <c:manualLayout>
          <c:xMode val="edge"/>
          <c:yMode val="edge"/>
          <c:x val="0.25363333489563805"/>
          <c:y val="6.2103418328625865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Calcs!$AT$6:$AT$51</c:f>
              <c:numCache>
                <c:formatCode>0.0</c:formatCode>
                <c:ptCount val="46"/>
                <c:pt idx="0">
                  <c:v>188.34128401391231</c:v>
                </c:pt>
                <c:pt idx="1">
                  <c:v>187.34027507430295</c:v>
                </c:pt>
                <c:pt idx="2">
                  <c:v>186.33900489458975</c:v>
                </c:pt>
                <c:pt idx="3">
                  <c:v>185.33740583307127</c:v>
                </c:pt>
                <c:pt idx="4">
                  <c:v>184.33539273389061</c:v>
                </c:pt>
                <c:pt idx="5">
                  <c:v>183.33285839217567</c:v>
                </c:pt>
                <c:pt idx="6">
                  <c:v>182.32966784498851</c:v>
                </c:pt>
                <c:pt idx="7">
                  <c:v>181.32565118405708</c:v>
                </c:pt>
                <c:pt idx="8">
                  <c:v>180.32059450753994</c:v>
                </c:pt>
                <c:pt idx="9">
                  <c:v>179.31422852897327</c:v>
                </c:pt>
                <c:pt idx="10">
                  <c:v>178.30621423678477</c:v>
                </c:pt>
                <c:pt idx="11">
                  <c:v>177.29612484069114</c:v>
                </c:pt>
                <c:pt idx="12">
                  <c:v>176.2834230435592</c:v>
                </c:pt>
                <c:pt idx="13">
                  <c:v>175.26743242837435</c:v>
                </c:pt>
                <c:pt idx="14">
                  <c:v>174.24730143656791</c:v>
                </c:pt>
                <c:pt idx="15">
                  <c:v>173.22195801941817</c:v>
                </c:pt>
                <c:pt idx="16">
                  <c:v>172.19005254754666</c:v>
                </c:pt>
                <c:pt idx="17">
                  <c:v>171.14988593823233</c:v>
                </c:pt>
                <c:pt idx="18">
                  <c:v>170.09931917306093</c:v>
                </c:pt>
                <c:pt idx="19">
                  <c:v>169.03565938739442</c:v>
                </c:pt>
                <c:pt idx="20">
                  <c:v>167.95551646550945</c:v>
                </c:pt>
                <c:pt idx="21">
                  <c:v>166.85462250457306</c:v>
                </c:pt>
                <c:pt idx="22">
                  <c:v>165.72760453325364</c:v>
                </c:pt>
                <c:pt idx="23">
                  <c:v>164.56769838140511</c:v>
                </c:pt>
                <c:pt idx="24">
                  <c:v>163.36638846334077</c:v>
                </c:pt>
                <c:pt idx="25">
                  <c:v>162.11295429184335</c:v>
                </c:pt>
                <c:pt idx="26">
                  <c:v>160.79389957312827</c:v>
                </c:pt>
                <c:pt idx="27">
                  <c:v>159.39223347998498</c:v>
                </c:pt>
                <c:pt idx="28">
                  <c:v>157.88656582827088</c:v>
                </c:pt>
                <c:pt idx="29">
                  <c:v>156.24996797160566</c:v>
                </c:pt>
                <c:pt idx="30">
                  <c:v>154.44853875275615</c:v>
                </c:pt>
                <c:pt idx="31">
                  <c:v>152.43959914339212</c:v>
                </c:pt>
                <c:pt idx="32">
                  <c:v>150.16941943019808</c:v>
                </c:pt>
                <c:pt idx="33">
                  <c:v>147.57035791171268</c:v>
                </c:pt>
                <c:pt idx="34">
                  <c:v>144.55725873106923</c:v>
                </c:pt>
                <c:pt idx="35">
                  <c:v>141.02291701609519</c:v>
                </c:pt>
                <c:pt idx="36">
                  <c:v>136.83236982894437</c:v>
                </c:pt>
                <c:pt idx="37">
                  <c:v>131.8157088975118</c:v>
                </c:pt>
                <c:pt idx="38">
                  <c:v>125.75903238037048</c:v>
                </c:pt>
                <c:pt idx="39">
                  <c:v>118.3930538137185</c:v>
                </c:pt>
                <c:pt idx="40">
                  <c:v>109.37876162522332</c:v>
                </c:pt>
                <c:pt idx="41">
                  <c:v>98.289365531583258</c:v>
                </c:pt>
                <c:pt idx="42">
                  <c:v>84.587568399642976</c:v>
                </c:pt>
                <c:pt idx="43">
                  <c:v>67.596953214789096</c:v>
                </c:pt>
                <c:pt idx="44">
                  <c:v>46.465961408354886</c:v>
                </c:pt>
                <c:pt idx="45">
                  <c:v>20.122544258614738</c:v>
                </c:pt>
              </c:numCache>
            </c:numRef>
          </c:yVal>
          <c:smooth val="0"/>
          <c:extLst>
            <c:ext xmlns:c16="http://schemas.microsoft.com/office/drawing/2014/chart" uri="{C3380CC4-5D6E-409C-BE32-E72D297353CC}">
              <c16:uniqueId val="{00000000-7B44-487D-A315-E78CC9B72E78}"/>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7B44-487D-A315-E78CC9B72E78}"/>
            </c:ext>
          </c:extLst>
        </c:ser>
        <c:ser>
          <c:idx val="2"/>
          <c:order val="2"/>
          <c:tx>
            <c:strRef>
              <c:f>'HF Cetacean'!$D$13</c:f>
              <c:strCache>
                <c:ptCount val="1"/>
                <c:pt idx="0">
                  <c:v>140</c:v>
                </c:pt>
              </c:strCache>
            </c:strRef>
          </c:tx>
          <c:spPr>
            <a:ln w="22225" cap="rnd">
              <a:solidFill>
                <a:schemeClr val="accent1"/>
              </a:solidFill>
              <a:round/>
            </a:ln>
            <a:effectLst/>
          </c:spPr>
          <c:marker>
            <c:symbol val="none"/>
          </c:marker>
          <c:xVal>
            <c:numRef>
              <c:f>'HF Cetacean'!$A$14:$A$15</c:f>
              <c:numCache>
                <c:formatCode>General</c:formatCode>
                <c:ptCount val="2"/>
                <c:pt idx="0">
                  <c:v>1</c:v>
                </c:pt>
                <c:pt idx="1">
                  <c:v>5000</c:v>
                </c:pt>
              </c:numCache>
            </c:numRef>
          </c:xVal>
          <c:yVal>
            <c:numRef>
              <c:f>'HF Cetacean'!$D$14:$D$15</c:f>
              <c:numCache>
                <c:formatCode>General</c:formatCode>
                <c:ptCount val="2"/>
                <c:pt idx="0">
                  <c:v>140</c:v>
                </c:pt>
                <c:pt idx="1">
                  <c:v>140</c:v>
                </c:pt>
              </c:numCache>
            </c:numRef>
          </c:yVal>
          <c:smooth val="0"/>
          <c:extLst>
            <c:ext xmlns:c16="http://schemas.microsoft.com/office/drawing/2014/chart" uri="{C3380CC4-5D6E-409C-BE32-E72D297353CC}">
              <c16:uniqueId val="{00000000-6113-4F5C-A347-8AC5E352667C}"/>
            </c:ext>
          </c:extLst>
        </c:ser>
        <c:ser>
          <c:idx val="3"/>
          <c:order val="3"/>
          <c:tx>
            <c:strRef>
              <c:f>'HF Cetacean'!$E$13</c:f>
              <c:strCache>
                <c:ptCount val="1"/>
                <c:pt idx="0">
                  <c:v>196</c:v>
                </c:pt>
              </c:strCache>
            </c:strRef>
          </c:tx>
          <c:spPr>
            <a:ln w="22225" cap="rnd">
              <a:solidFill>
                <a:schemeClr val="accent2"/>
              </a:solidFill>
              <a:round/>
            </a:ln>
            <a:effectLst/>
          </c:spPr>
          <c:marker>
            <c:symbol val="none"/>
          </c:marker>
          <c:xVal>
            <c:numRef>
              <c:f>'HF Cetacean'!$A$14:$A$15</c:f>
              <c:numCache>
                <c:formatCode>General</c:formatCode>
                <c:ptCount val="2"/>
                <c:pt idx="0">
                  <c:v>1</c:v>
                </c:pt>
                <c:pt idx="1">
                  <c:v>5000</c:v>
                </c:pt>
              </c:numCache>
            </c:numRef>
          </c:xVal>
          <c:yVal>
            <c:numRef>
              <c:f>'HF Cetacean'!$E$14:$E$15</c:f>
              <c:numCache>
                <c:formatCode>General</c:formatCode>
                <c:ptCount val="2"/>
                <c:pt idx="0">
                  <c:v>196</c:v>
                </c:pt>
                <c:pt idx="1">
                  <c:v>196</c:v>
                </c:pt>
              </c:numCache>
            </c:numRef>
          </c:yVal>
          <c:smooth val="0"/>
          <c:extLst>
            <c:ext xmlns:c16="http://schemas.microsoft.com/office/drawing/2014/chart" uri="{C3380CC4-5D6E-409C-BE32-E72D297353CC}">
              <c16:uniqueId val="{00000001-6113-4F5C-A347-8AC5E352667C}"/>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58444057024622309"/>
          <c:y val="0.12901787502169298"/>
          <c:w val="0.32620293364230984"/>
          <c:h val="5.574108706442604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PTS Phocid</a:t>
            </a:r>
          </a:p>
          <a:p>
            <a:pPr>
              <a:defRPr/>
            </a:pPr>
            <a:r>
              <a:rPr lang="en-US"/>
              <a:t>based on NMFS 2018</a:t>
            </a:r>
          </a:p>
        </c:rich>
      </c:tx>
      <c:layout>
        <c:manualLayout>
          <c:xMode val="edge"/>
          <c:yMode val="edge"/>
          <c:x val="0.38174603174603178"/>
          <c:y val="6.1694665536526335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Calcs!$AY$6:$AY$51</c:f>
              <c:numCache>
                <c:formatCode>0.0</c:formatCode>
                <c:ptCount val="46"/>
                <c:pt idx="0">
                  <c:v>213.12892242165367</c:v>
                </c:pt>
                <c:pt idx="1">
                  <c:v>212.12791348204431</c:v>
                </c:pt>
                <c:pt idx="2">
                  <c:v>211.1266433023311</c:v>
                </c:pt>
                <c:pt idx="3">
                  <c:v>210.12504424081263</c:v>
                </c:pt>
                <c:pt idx="4">
                  <c:v>209.12303114163197</c:v>
                </c:pt>
                <c:pt idx="5">
                  <c:v>208.12049679991702</c:v>
                </c:pt>
                <c:pt idx="6">
                  <c:v>207.11730625272986</c:v>
                </c:pt>
                <c:pt idx="7">
                  <c:v>206.11328959179843</c:v>
                </c:pt>
                <c:pt idx="8">
                  <c:v>205.10823291528129</c:v>
                </c:pt>
                <c:pt idx="9">
                  <c:v>204.10186693671463</c:v>
                </c:pt>
                <c:pt idx="10">
                  <c:v>203.09385264452612</c:v>
                </c:pt>
                <c:pt idx="11">
                  <c:v>202.08376324843249</c:v>
                </c:pt>
                <c:pt idx="12">
                  <c:v>201.07106145130055</c:v>
                </c:pt>
                <c:pt idx="13">
                  <c:v>200.0550708361157</c:v>
                </c:pt>
                <c:pt idx="14">
                  <c:v>199.03493984430926</c:v>
                </c:pt>
                <c:pt idx="15">
                  <c:v>198.00959642715952</c:v>
                </c:pt>
                <c:pt idx="16">
                  <c:v>196.97769095528801</c:v>
                </c:pt>
                <c:pt idx="17">
                  <c:v>195.93752434597369</c:v>
                </c:pt>
                <c:pt idx="18">
                  <c:v>194.88695758080229</c:v>
                </c:pt>
                <c:pt idx="19">
                  <c:v>193.82329779513577</c:v>
                </c:pt>
                <c:pt idx="20">
                  <c:v>192.7431548732508</c:v>
                </c:pt>
                <c:pt idx="21">
                  <c:v>191.64226091231441</c:v>
                </c:pt>
                <c:pt idx="22">
                  <c:v>190.51524294099499</c:v>
                </c:pt>
                <c:pt idx="23">
                  <c:v>189.35533678914646</c:v>
                </c:pt>
                <c:pt idx="24">
                  <c:v>188.15402687108212</c:v>
                </c:pt>
                <c:pt idx="25">
                  <c:v>186.90059269958471</c:v>
                </c:pt>
                <c:pt idx="26">
                  <c:v>185.58153798086963</c:v>
                </c:pt>
                <c:pt idx="27">
                  <c:v>184.17987188772634</c:v>
                </c:pt>
                <c:pt idx="28">
                  <c:v>182.67420423601223</c:v>
                </c:pt>
                <c:pt idx="29">
                  <c:v>181.03760637934701</c:v>
                </c:pt>
                <c:pt idx="30">
                  <c:v>179.2361771604975</c:v>
                </c:pt>
                <c:pt idx="31">
                  <c:v>177.22723755113347</c:v>
                </c:pt>
                <c:pt idx="32">
                  <c:v>174.95705783793943</c:v>
                </c:pt>
                <c:pt idx="33">
                  <c:v>172.35799631945403</c:v>
                </c:pt>
                <c:pt idx="34">
                  <c:v>169.34489713881058</c:v>
                </c:pt>
                <c:pt idx="35">
                  <c:v>165.81055542383655</c:v>
                </c:pt>
                <c:pt idx="36">
                  <c:v>161.62000823668572</c:v>
                </c:pt>
                <c:pt idx="37">
                  <c:v>156.60334730525315</c:v>
                </c:pt>
                <c:pt idx="38">
                  <c:v>150.54667078811184</c:v>
                </c:pt>
                <c:pt idx="39">
                  <c:v>143.18069222145985</c:v>
                </c:pt>
                <c:pt idx="40">
                  <c:v>134.16640003296467</c:v>
                </c:pt>
                <c:pt idx="41">
                  <c:v>123.07700393932461</c:v>
                </c:pt>
                <c:pt idx="42">
                  <c:v>109.37520680738433</c:v>
                </c:pt>
                <c:pt idx="43">
                  <c:v>92.384591622530451</c:v>
                </c:pt>
                <c:pt idx="44">
                  <c:v>71.253599816096241</c:v>
                </c:pt>
                <c:pt idx="45">
                  <c:v>44.910182666356093</c:v>
                </c:pt>
              </c:numCache>
            </c:numRef>
          </c:yVal>
          <c:smooth val="0"/>
          <c:extLst>
            <c:ext xmlns:c16="http://schemas.microsoft.com/office/drawing/2014/chart" uri="{C3380CC4-5D6E-409C-BE32-E72D297353CC}">
              <c16:uniqueId val="{00000000-2B04-482F-936F-8EC6A47BD809}"/>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2B04-482F-936F-8EC6A47BD809}"/>
            </c:ext>
          </c:extLst>
        </c:ser>
        <c:ser>
          <c:idx val="2"/>
          <c:order val="2"/>
          <c:tx>
            <c:strRef>
              <c:f>Phocids!$B$13</c:f>
              <c:strCache>
                <c:ptCount val="1"/>
                <c:pt idx="0">
                  <c:v>185</c:v>
                </c:pt>
              </c:strCache>
            </c:strRef>
          </c:tx>
          <c:spPr>
            <a:ln w="22225" cap="rnd">
              <a:solidFill>
                <a:schemeClr val="accent1"/>
              </a:solidFill>
              <a:round/>
            </a:ln>
            <a:effectLst/>
          </c:spPr>
          <c:marker>
            <c:symbol val="none"/>
          </c:marker>
          <c:xVal>
            <c:numRef>
              <c:f>Phocids!$A$14:$A$15</c:f>
              <c:numCache>
                <c:formatCode>General</c:formatCode>
                <c:ptCount val="2"/>
                <c:pt idx="0">
                  <c:v>1</c:v>
                </c:pt>
                <c:pt idx="1">
                  <c:v>5000</c:v>
                </c:pt>
              </c:numCache>
            </c:numRef>
          </c:xVal>
          <c:yVal>
            <c:numRef>
              <c:f>Phocids!$B$14:$B$15</c:f>
              <c:numCache>
                <c:formatCode>General</c:formatCode>
                <c:ptCount val="2"/>
                <c:pt idx="0">
                  <c:v>185</c:v>
                </c:pt>
                <c:pt idx="1">
                  <c:v>185</c:v>
                </c:pt>
              </c:numCache>
            </c:numRef>
          </c:yVal>
          <c:smooth val="0"/>
          <c:extLst>
            <c:ext xmlns:c16="http://schemas.microsoft.com/office/drawing/2014/chart" uri="{C3380CC4-5D6E-409C-BE32-E72D297353CC}">
              <c16:uniqueId val="{00000000-671E-49FD-BA92-72DFD0FD3164}"/>
            </c:ext>
          </c:extLst>
        </c:ser>
        <c:ser>
          <c:idx val="3"/>
          <c:order val="3"/>
          <c:tx>
            <c:strRef>
              <c:f>Phocids!$C$13</c:f>
              <c:strCache>
                <c:ptCount val="1"/>
                <c:pt idx="0">
                  <c:v>218</c:v>
                </c:pt>
              </c:strCache>
            </c:strRef>
          </c:tx>
          <c:spPr>
            <a:ln w="22225" cap="rnd">
              <a:solidFill>
                <a:schemeClr val="accent2"/>
              </a:solidFill>
              <a:round/>
            </a:ln>
            <a:effectLst/>
          </c:spPr>
          <c:marker>
            <c:symbol val="none"/>
          </c:marker>
          <c:xVal>
            <c:numRef>
              <c:f>Phocids!$A$14:$A$15</c:f>
              <c:numCache>
                <c:formatCode>General</c:formatCode>
                <c:ptCount val="2"/>
                <c:pt idx="0">
                  <c:v>1</c:v>
                </c:pt>
                <c:pt idx="1">
                  <c:v>5000</c:v>
                </c:pt>
              </c:numCache>
            </c:numRef>
          </c:xVal>
          <c:yVal>
            <c:numRef>
              <c:f>Phocids!$C$14:$C$15</c:f>
              <c:numCache>
                <c:formatCode>General</c:formatCode>
                <c:ptCount val="2"/>
                <c:pt idx="0">
                  <c:v>218</c:v>
                </c:pt>
                <c:pt idx="1">
                  <c:v>218</c:v>
                </c:pt>
              </c:numCache>
            </c:numRef>
          </c:yVal>
          <c:smooth val="0"/>
          <c:extLst>
            <c:ext xmlns:c16="http://schemas.microsoft.com/office/drawing/2014/chart" uri="{C3380CC4-5D6E-409C-BE32-E72D297353CC}">
              <c16:uniqueId val="{00000001-671E-49FD-BA92-72DFD0FD3164}"/>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58194861269583698"/>
          <c:y val="0.1290179035973639"/>
          <c:w val="0.32869489119269596"/>
          <c:h val="5.596546538459944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Behavior Phocid</a:t>
            </a:r>
          </a:p>
          <a:p>
            <a:pPr>
              <a:defRPr/>
            </a:pPr>
            <a:r>
              <a:rPr lang="en-US"/>
              <a:t>based on FR 2005</a:t>
            </a:r>
          </a:p>
        </c:rich>
      </c:tx>
      <c:layout>
        <c:manualLayout>
          <c:xMode val="edge"/>
          <c:yMode val="edge"/>
          <c:x val="0.37829236189226345"/>
          <c:y val="6.1915524448332843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C286-4E88-BE66-39FD749DB374}"/>
            </c:ext>
          </c:extLst>
        </c:ser>
        <c:ser>
          <c:idx val="0"/>
          <c:order val="1"/>
          <c:tx>
            <c:strRef>
              <c:f>Phocids!$F$13</c:f>
              <c:strCache>
                <c:ptCount val="1"/>
                <c:pt idx="0">
                  <c:v>160</c:v>
                </c:pt>
              </c:strCache>
            </c:strRef>
          </c:tx>
          <c:spPr>
            <a:ln w="22225" cap="rnd">
              <a:solidFill>
                <a:schemeClr val="bg1">
                  <a:lumMod val="65000"/>
                </a:schemeClr>
              </a:solidFill>
              <a:round/>
            </a:ln>
            <a:effectLst/>
          </c:spPr>
          <c:marker>
            <c:symbol val="none"/>
          </c:marker>
          <c:xVal>
            <c:numRef>
              <c:f>Phocids!$A$14:$A$15</c:f>
              <c:numCache>
                <c:formatCode>General</c:formatCode>
                <c:ptCount val="2"/>
                <c:pt idx="0">
                  <c:v>1</c:v>
                </c:pt>
                <c:pt idx="1">
                  <c:v>5000</c:v>
                </c:pt>
              </c:numCache>
            </c:numRef>
          </c:xVal>
          <c:yVal>
            <c:numRef>
              <c:f>Phocids!$F$14:$F$15</c:f>
              <c:numCache>
                <c:formatCode>General</c:formatCode>
                <c:ptCount val="2"/>
                <c:pt idx="0">
                  <c:v>160</c:v>
                </c:pt>
                <c:pt idx="1">
                  <c:v>160</c:v>
                </c:pt>
              </c:numCache>
            </c:numRef>
          </c:yVal>
          <c:smooth val="0"/>
          <c:extLst>
            <c:ext xmlns:c16="http://schemas.microsoft.com/office/drawing/2014/chart" uri="{C3380CC4-5D6E-409C-BE32-E72D297353CC}">
              <c16:uniqueId val="{00000001-C307-44F5-9748-92D4150F9800}"/>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1860305176502204"/>
          <c:y val="0.13834572761738118"/>
          <c:w val="0.19028607476461304"/>
          <c:h val="5.58114610673665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TTS Phocid</a:t>
            </a:r>
          </a:p>
          <a:p>
            <a:pPr>
              <a:defRPr/>
            </a:pPr>
            <a:r>
              <a:rPr lang="en-US"/>
              <a:t>Based on NMFS 2018</a:t>
            </a:r>
          </a:p>
        </c:rich>
      </c:tx>
      <c:layout>
        <c:manualLayout>
          <c:xMode val="edge"/>
          <c:yMode val="edge"/>
          <c:x val="0.38012143013373334"/>
          <c:y val="9.3000590696194346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Calcs!$BA$6:$BA$51</c:f>
              <c:numCache>
                <c:formatCode>0.0</c:formatCode>
                <c:ptCount val="46"/>
                <c:pt idx="0">
                  <c:v>213.12892242165367</c:v>
                </c:pt>
                <c:pt idx="1">
                  <c:v>212.12791348204431</c:v>
                </c:pt>
                <c:pt idx="2">
                  <c:v>211.1266433023311</c:v>
                </c:pt>
                <c:pt idx="3">
                  <c:v>210.12504424081263</c:v>
                </c:pt>
                <c:pt idx="4">
                  <c:v>209.12303114163197</c:v>
                </c:pt>
                <c:pt idx="5">
                  <c:v>208.12049679991702</c:v>
                </c:pt>
                <c:pt idx="6">
                  <c:v>207.11730625272986</c:v>
                </c:pt>
                <c:pt idx="7">
                  <c:v>206.11328959179843</c:v>
                </c:pt>
                <c:pt idx="8">
                  <c:v>205.10823291528129</c:v>
                </c:pt>
                <c:pt idx="9">
                  <c:v>204.10186693671463</c:v>
                </c:pt>
                <c:pt idx="10">
                  <c:v>203.09385264452612</c:v>
                </c:pt>
                <c:pt idx="11">
                  <c:v>202.08376324843249</c:v>
                </c:pt>
                <c:pt idx="12">
                  <c:v>201.07106145130055</c:v>
                </c:pt>
                <c:pt idx="13">
                  <c:v>200.0550708361157</c:v>
                </c:pt>
                <c:pt idx="14">
                  <c:v>199.03493984430926</c:v>
                </c:pt>
                <c:pt idx="15">
                  <c:v>198.00959642715952</c:v>
                </c:pt>
                <c:pt idx="16">
                  <c:v>196.97769095528801</c:v>
                </c:pt>
                <c:pt idx="17">
                  <c:v>195.93752434597369</c:v>
                </c:pt>
                <c:pt idx="18">
                  <c:v>194.88695758080229</c:v>
                </c:pt>
                <c:pt idx="19">
                  <c:v>193.82329779513577</c:v>
                </c:pt>
                <c:pt idx="20">
                  <c:v>192.7431548732508</c:v>
                </c:pt>
                <c:pt idx="21">
                  <c:v>191.64226091231441</c:v>
                </c:pt>
                <c:pt idx="22">
                  <c:v>190.51524294099499</c:v>
                </c:pt>
                <c:pt idx="23">
                  <c:v>189.35533678914646</c:v>
                </c:pt>
                <c:pt idx="24">
                  <c:v>188.15402687108212</c:v>
                </c:pt>
                <c:pt idx="25">
                  <c:v>186.90059269958471</c:v>
                </c:pt>
                <c:pt idx="26">
                  <c:v>185.58153798086963</c:v>
                </c:pt>
                <c:pt idx="27">
                  <c:v>184.17987188772634</c:v>
                </c:pt>
                <c:pt idx="28">
                  <c:v>182.67420423601223</c:v>
                </c:pt>
                <c:pt idx="29">
                  <c:v>181.03760637934701</c:v>
                </c:pt>
                <c:pt idx="30">
                  <c:v>179.2361771604975</c:v>
                </c:pt>
                <c:pt idx="31">
                  <c:v>177.22723755113347</c:v>
                </c:pt>
                <c:pt idx="32">
                  <c:v>174.95705783793943</c:v>
                </c:pt>
                <c:pt idx="33">
                  <c:v>172.35799631945403</c:v>
                </c:pt>
                <c:pt idx="34">
                  <c:v>169.34489713881058</c:v>
                </c:pt>
                <c:pt idx="35">
                  <c:v>165.81055542383655</c:v>
                </c:pt>
                <c:pt idx="36">
                  <c:v>161.62000823668572</c:v>
                </c:pt>
                <c:pt idx="37">
                  <c:v>156.60334730525315</c:v>
                </c:pt>
                <c:pt idx="38">
                  <c:v>150.54667078811184</c:v>
                </c:pt>
                <c:pt idx="39">
                  <c:v>143.18069222145985</c:v>
                </c:pt>
                <c:pt idx="40">
                  <c:v>134.16640003296467</c:v>
                </c:pt>
                <c:pt idx="41">
                  <c:v>123.07700393932461</c:v>
                </c:pt>
                <c:pt idx="42">
                  <c:v>109.37520680738433</c:v>
                </c:pt>
                <c:pt idx="43">
                  <c:v>92.384591622530451</c:v>
                </c:pt>
                <c:pt idx="44">
                  <c:v>71.253599816096241</c:v>
                </c:pt>
                <c:pt idx="45">
                  <c:v>44.910182666356093</c:v>
                </c:pt>
              </c:numCache>
            </c:numRef>
          </c:yVal>
          <c:smooth val="0"/>
          <c:extLst>
            <c:ext xmlns:c16="http://schemas.microsoft.com/office/drawing/2014/chart" uri="{C3380CC4-5D6E-409C-BE32-E72D297353CC}">
              <c16:uniqueId val="{00000000-2668-45C9-A51F-311F305FBD2C}"/>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2668-45C9-A51F-311F305FBD2C}"/>
            </c:ext>
          </c:extLst>
        </c:ser>
        <c:ser>
          <c:idx val="2"/>
          <c:order val="2"/>
          <c:tx>
            <c:strRef>
              <c:f>Phocids!$D$13</c:f>
              <c:strCache>
                <c:ptCount val="1"/>
                <c:pt idx="0">
                  <c:v>170</c:v>
                </c:pt>
              </c:strCache>
            </c:strRef>
          </c:tx>
          <c:spPr>
            <a:ln w="22225" cap="rnd">
              <a:solidFill>
                <a:schemeClr val="accent1"/>
              </a:solidFill>
              <a:round/>
            </a:ln>
            <a:effectLst/>
          </c:spPr>
          <c:marker>
            <c:symbol val="none"/>
          </c:marker>
          <c:xVal>
            <c:numRef>
              <c:f>Phocids!$A$14:$A$15</c:f>
              <c:numCache>
                <c:formatCode>General</c:formatCode>
                <c:ptCount val="2"/>
                <c:pt idx="0">
                  <c:v>1</c:v>
                </c:pt>
                <c:pt idx="1">
                  <c:v>5000</c:v>
                </c:pt>
              </c:numCache>
            </c:numRef>
          </c:xVal>
          <c:yVal>
            <c:numRef>
              <c:f>Phocids!$D$14:$D$15</c:f>
              <c:numCache>
                <c:formatCode>General</c:formatCode>
                <c:ptCount val="2"/>
                <c:pt idx="0">
                  <c:v>170</c:v>
                </c:pt>
                <c:pt idx="1">
                  <c:v>170</c:v>
                </c:pt>
              </c:numCache>
            </c:numRef>
          </c:yVal>
          <c:smooth val="0"/>
          <c:extLst>
            <c:ext xmlns:c16="http://schemas.microsoft.com/office/drawing/2014/chart" uri="{C3380CC4-5D6E-409C-BE32-E72D297353CC}">
              <c16:uniqueId val="{00000000-200F-4E54-9EB8-85D37D05CEEA}"/>
            </c:ext>
          </c:extLst>
        </c:ser>
        <c:ser>
          <c:idx val="3"/>
          <c:order val="3"/>
          <c:tx>
            <c:strRef>
              <c:f>Phocids!$E$13</c:f>
              <c:strCache>
                <c:ptCount val="1"/>
                <c:pt idx="0">
                  <c:v>212</c:v>
                </c:pt>
              </c:strCache>
            </c:strRef>
          </c:tx>
          <c:spPr>
            <a:ln w="22225" cap="rnd">
              <a:solidFill>
                <a:schemeClr val="accent2"/>
              </a:solidFill>
              <a:round/>
            </a:ln>
            <a:effectLst/>
          </c:spPr>
          <c:marker>
            <c:symbol val="none"/>
          </c:marker>
          <c:xVal>
            <c:numRef>
              <c:f>Phocids!$A$14:$A$15</c:f>
              <c:numCache>
                <c:formatCode>General</c:formatCode>
                <c:ptCount val="2"/>
                <c:pt idx="0">
                  <c:v>1</c:v>
                </c:pt>
                <c:pt idx="1">
                  <c:v>5000</c:v>
                </c:pt>
              </c:numCache>
            </c:numRef>
          </c:xVal>
          <c:yVal>
            <c:numRef>
              <c:f>Phocids!$E$14:$E$15</c:f>
              <c:numCache>
                <c:formatCode>General</c:formatCode>
                <c:ptCount val="2"/>
                <c:pt idx="0">
                  <c:v>212</c:v>
                </c:pt>
                <c:pt idx="1">
                  <c:v>212</c:v>
                </c:pt>
              </c:numCache>
            </c:numRef>
          </c:yVal>
          <c:smooth val="0"/>
          <c:extLst>
            <c:ext xmlns:c16="http://schemas.microsoft.com/office/drawing/2014/chart" uri="{C3380CC4-5D6E-409C-BE32-E72D297353CC}">
              <c16:uniqueId val="{00000001-200F-4E54-9EB8-85D37D05CEEA}"/>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0686818819969801"/>
          <c:y val="0.1290179035973639"/>
          <c:w val="0.30377531568883492"/>
          <c:h val="5.596546538459944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Injury Fish</a:t>
            </a:r>
          </a:p>
          <a:p>
            <a:pPr>
              <a:defRPr/>
            </a:pPr>
            <a:r>
              <a:rPr lang="en-US"/>
              <a:t>Based on Stadler &amp; Woodbury 2009</a:t>
            </a:r>
          </a:p>
        </c:rich>
      </c:tx>
      <c:layout>
        <c:manualLayout>
          <c:xMode val="edge"/>
          <c:yMode val="edge"/>
          <c:x val="0.30805922805152974"/>
          <c:y val="6.2102322436968114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3694-4074-B6AB-0B4ECCABFECE}"/>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3694-4074-B6AB-0B4ECCABFECE}"/>
            </c:ext>
          </c:extLst>
        </c:ser>
        <c:ser>
          <c:idx val="2"/>
          <c:order val="2"/>
          <c:tx>
            <c:strRef>
              <c:f>'Fishes SB0'!$F$15</c:f>
              <c:strCache>
                <c:ptCount val="1"/>
                <c:pt idx="0">
                  <c:v>183</c:v>
                </c:pt>
              </c:strCache>
            </c:strRef>
          </c:tx>
          <c:spPr>
            <a:ln w="19050" cap="rnd">
              <a:solidFill>
                <a:schemeClr val="accent3"/>
              </a:solidFill>
              <a:round/>
            </a:ln>
            <a:effectLst/>
          </c:spPr>
          <c:marker>
            <c:symbol val="none"/>
          </c:marker>
          <c:dPt>
            <c:idx val="1"/>
            <c:marker>
              <c:symbol val="none"/>
            </c:marker>
            <c:bubble3D val="0"/>
            <c:spPr>
              <a:ln w="22225" cap="rnd">
                <a:solidFill>
                  <a:schemeClr val="accent1"/>
                </a:solidFill>
                <a:round/>
              </a:ln>
              <a:effectLst/>
            </c:spPr>
            <c:extLst>
              <c:ext xmlns:c16="http://schemas.microsoft.com/office/drawing/2014/chart" uri="{C3380CC4-5D6E-409C-BE32-E72D297353CC}">
                <c16:uniqueId val="{00000006-AFE6-4CBB-B4DF-54C9DA9DB69B}"/>
              </c:ext>
            </c:extLst>
          </c:dPt>
          <c:xVal>
            <c:numRef>
              <c:f>'Fishes SB0'!$A$16:$A$17</c:f>
              <c:numCache>
                <c:formatCode>General</c:formatCode>
                <c:ptCount val="2"/>
                <c:pt idx="0">
                  <c:v>1</c:v>
                </c:pt>
                <c:pt idx="1">
                  <c:v>5000</c:v>
                </c:pt>
              </c:numCache>
            </c:numRef>
          </c:xVal>
          <c:yVal>
            <c:numRef>
              <c:f>'Fishes SB0'!$F$16:$F$17</c:f>
              <c:numCache>
                <c:formatCode>General</c:formatCode>
                <c:ptCount val="2"/>
                <c:pt idx="0">
                  <c:v>183</c:v>
                </c:pt>
                <c:pt idx="1">
                  <c:v>183</c:v>
                </c:pt>
              </c:numCache>
            </c:numRef>
          </c:yVal>
          <c:smooth val="0"/>
          <c:extLst>
            <c:ext xmlns:c16="http://schemas.microsoft.com/office/drawing/2014/chart" uri="{C3380CC4-5D6E-409C-BE32-E72D297353CC}">
              <c16:uniqueId val="{00000003-AFE6-4CBB-B4DF-54C9DA9DB69B}"/>
            </c:ext>
          </c:extLst>
        </c:ser>
        <c:ser>
          <c:idx val="3"/>
          <c:order val="3"/>
          <c:tx>
            <c:strRef>
              <c:f>'Fishes SB0'!$G$15</c:f>
              <c:strCache>
                <c:ptCount val="1"/>
                <c:pt idx="0">
                  <c:v>187</c:v>
                </c:pt>
              </c:strCache>
            </c:strRef>
          </c:tx>
          <c:spPr>
            <a:ln w="22225" cap="rnd">
              <a:solidFill>
                <a:schemeClr val="accent1"/>
              </a:solidFill>
              <a:prstDash val="dashDot"/>
              <a:round/>
            </a:ln>
            <a:effectLst/>
          </c:spPr>
          <c:marker>
            <c:symbol val="none"/>
          </c:marker>
          <c:xVal>
            <c:numRef>
              <c:f>'Fishes SB0'!$A$16:$A$17</c:f>
              <c:numCache>
                <c:formatCode>General</c:formatCode>
                <c:ptCount val="2"/>
                <c:pt idx="0">
                  <c:v>1</c:v>
                </c:pt>
                <c:pt idx="1">
                  <c:v>5000</c:v>
                </c:pt>
              </c:numCache>
            </c:numRef>
          </c:xVal>
          <c:yVal>
            <c:numRef>
              <c:f>'Fishes SB0'!$G$16:$G$17</c:f>
              <c:numCache>
                <c:formatCode>General</c:formatCode>
                <c:ptCount val="2"/>
                <c:pt idx="0">
                  <c:v>187</c:v>
                </c:pt>
                <c:pt idx="1">
                  <c:v>187</c:v>
                </c:pt>
              </c:numCache>
            </c:numRef>
          </c:yVal>
          <c:smooth val="0"/>
          <c:extLst>
            <c:ext xmlns:c16="http://schemas.microsoft.com/office/drawing/2014/chart" uri="{C3380CC4-5D6E-409C-BE32-E72D297353CC}">
              <c16:uniqueId val="{00000004-AFE6-4CBB-B4DF-54C9DA9DB69B}"/>
            </c:ext>
          </c:extLst>
        </c:ser>
        <c:ser>
          <c:idx val="4"/>
          <c:order val="4"/>
          <c:tx>
            <c:strRef>
              <c:f>'Fishes SB0'!$H$15</c:f>
              <c:strCache>
                <c:ptCount val="1"/>
                <c:pt idx="0">
                  <c:v>206</c:v>
                </c:pt>
              </c:strCache>
            </c:strRef>
          </c:tx>
          <c:spPr>
            <a:ln w="22225" cap="rnd">
              <a:solidFill>
                <a:schemeClr val="accent2"/>
              </a:solidFill>
              <a:round/>
            </a:ln>
            <a:effectLst/>
          </c:spPr>
          <c:marker>
            <c:symbol val="none"/>
          </c:marker>
          <c:xVal>
            <c:numRef>
              <c:f>'Fishes SB0'!$A$16:$A$17</c:f>
              <c:numCache>
                <c:formatCode>General</c:formatCode>
                <c:ptCount val="2"/>
                <c:pt idx="0">
                  <c:v>1</c:v>
                </c:pt>
                <c:pt idx="1">
                  <c:v>5000</c:v>
                </c:pt>
              </c:numCache>
            </c:numRef>
          </c:xVal>
          <c:yVal>
            <c:numRef>
              <c:f>'Fishes SB0'!$H$16:$H$17</c:f>
              <c:numCache>
                <c:formatCode>General</c:formatCode>
                <c:ptCount val="2"/>
                <c:pt idx="0">
                  <c:v>206</c:v>
                </c:pt>
                <c:pt idx="1">
                  <c:v>206</c:v>
                </c:pt>
              </c:numCache>
            </c:numRef>
          </c:yVal>
          <c:smooth val="0"/>
          <c:extLst>
            <c:ext xmlns:c16="http://schemas.microsoft.com/office/drawing/2014/chart" uri="{C3380CC4-5D6E-409C-BE32-E72D297353CC}">
              <c16:uniqueId val="{00000005-AFE6-4CBB-B4DF-54C9DA9DB69B}"/>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59426133037303763"/>
          <c:y val="0.12901782656983685"/>
          <c:w val="0.3186192682244674"/>
          <c:h val="5.69835371463791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Recoverable Injury Fish  </a:t>
            </a:r>
          </a:p>
          <a:p>
            <a:pPr>
              <a:defRPr/>
            </a:pPr>
            <a:r>
              <a:rPr lang="en-US"/>
              <a:t>based on Popper 2014</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08A0-489D-BC15-BF2847B731C6}"/>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08A0-489D-BC15-BF2847B731C6}"/>
            </c:ext>
          </c:extLst>
        </c:ser>
        <c:ser>
          <c:idx val="2"/>
          <c:order val="2"/>
          <c:tx>
            <c:strRef>
              <c:f>'Fishes SB0'!$B$15</c:f>
              <c:strCache>
                <c:ptCount val="1"/>
                <c:pt idx="0">
                  <c:v>216</c:v>
                </c:pt>
              </c:strCache>
            </c:strRef>
          </c:tx>
          <c:spPr>
            <a:ln w="19050" cap="rnd">
              <a:solidFill>
                <a:schemeClr val="accent5"/>
              </a:solidFill>
              <a:round/>
            </a:ln>
            <a:effectLst/>
          </c:spPr>
          <c:marker>
            <c:symbol val="none"/>
          </c:marker>
          <c:dPt>
            <c:idx val="1"/>
            <c:marker>
              <c:symbol val="none"/>
            </c:marker>
            <c:bubble3D val="0"/>
            <c:spPr>
              <a:ln w="22225" cap="rnd">
                <a:solidFill>
                  <a:schemeClr val="accent5"/>
                </a:solidFill>
                <a:round/>
              </a:ln>
              <a:effectLst/>
            </c:spPr>
            <c:extLst>
              <c:ext xmlns:c16="http://schemas.microsoft.com/office/drawing/2014/chart" uri="{C3380CC4-5D6E-409C-BE32-E72D297353CC}">
                <c16:uniqueId val="{00000006-0735-49FC-95C7-442024A8597E}"/>
              </c:ext>
            </c:extLst>
          </c:dPt>
          <c:xVal>
            <c:numRef>
              <c:f>'Fishes SB0'!$A$16:$A$17</c:f>
              <c:numCache>
                <c:formatCode>General</c:formatCode>
                <c:ptCount val="2"/>
                <c:pt idx="0">
                  <c:v>1</c:v>
                </c:pt>
                <c:pt idx="1">
                  <c:v>5000</c:v>
                </c:pt>
              </c:numCache>
            </c:numRef>
          </c:xVal>
          <c:yVal>
            <c:numRef>
              <c:f>'Fishes SB0'!$B$16:$B$17</c:f>
              <c:numCache>
                <c:formatCode>General</c:formatCode>
                <c:ptCount val="2"/>
                <c:pt idx="0">
                  <c:v>216</c:v>
                </c:pt>
                <c:pt idx="1">
                  <c:v>216</c:v>
                </c:pt>
              </c:numCache>
            </c:numRef>
          </c:yVal>
          <c:smooth val="0"/>
          <c:extLst>
            <c:ext xmlns:c16="http://schemas.microsoft.com/office/drawing/2014/chart" uri="{C3380CC4-5D6E-409C-BE32-E72D297353CC}">
              <c16:uniqueId val="{00000002-0735-49FC-95C7-442024A8597E}"/>
            </c:ext>
          </c:extLst>
        </c:ser>
        <c:ser>
          <c:idx val="3"/>
          <c:order val="3"/>
          <c:tx>
            <c:strRef>
              <c:f>'Fishes SB0'!$C$15</c:f>
              <c:strCache>
                <c:ptCount val="1"/>
                <c:pt idx="0">
                  <c:v>213</c:v>
                </c:pt>
              </c:strCache>
            </c:strRef>
          </c:tx>
          <c:spPr>
            <a:ln w="19050" cap="rnd">
              <a:solidFill>
                <a:schemeClr val="accent2"/>
              </a:solidFill>
              <a:round/>
            </a:ln>
            <a:effectLst/>
          </c:spPr>
          <c:marker>
            <c:symbol val="none"/>
          </c:marker>
          <c:dPt>
            <c:idx val="1"/>
            <c:marker>
              <c:symbol val="none"/>
            </c:marker>
            <c:bubble3D val="0"/>
            <c:spPr>
              <a:ln w="22225" cap="rnd">
                <a:solidFill>
                  <a:schemeClr val="accent2"/>
                </a:solidFill>
                <a:round/>
              </a:ln>
              <a:effectLst/>
            </c:spPr>
            <c:extLst>
              <c:ext xmlns:c16="http://schemas.microsoft.com/office/drawing/2014/chart" uri="{C3380CC4-5D6E-409C-BE32-E72D297353CC}">
                <c16:uniqueId val="{00000007-0735-49FC-95C7-442024A8597E}"/>
              </c:ext>
            </c:extLst>
          </c:dPt>
          <c:xVal>
            <c:numRef>
              <c:f>'Fishes SB0'!$A$16:$A$17</c:f>
              <c:numCache>
                <c:formatCode>General</c:formatCode>
                <c:ptCount val="2"/>
                <c:pt idx="0">
                  <c:v>1</c:v>
                </c:pt>
                <c:pt idx="1">
                  <c:v>5000</c:v>
                </c:pt>
              </c:numCache>
            </c:numRef>
          </c:xVal>
          <c:yVal>
            <c:numRef>
              <c:f>'Fishes SB0'!$C$16:$C$17</c:f>
              <c:numCache>
                <c:formatCode>General</c:formatCode>
                <c:ptCount val="2"/>
                <c:pt idx="0">
                  <c:v>213</c:v>
                </c:pt>
                <c:pt idx="1">
                  <c:v>213</c:v>
                </c:pt>
              </c:numCache>
            </c:numRef>
          </c:yVal>
          <c:smooth val="0"/>
          <c:extLst>
            <c:ext xmlns:c16="http://schemas.microsoft.com/office/drawing/2014/chart" uri="{C3380CC4-5D6E-409C-BE32-E72D297353CC}">
              <c16:uniqueId val="{00000004-0735-49FC-95C7-442024A8597E}"/>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2413083942532166"/>
          <c:y val="0.12901782656983685"/>
          <c:w val="0.28849535876043891"/>
          <c:h val="5.69835371463791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Recoverable Injury Fish  </a:t>
            </a:r>
          </a:p>
          <a:p>
            <a:pPr>
              <a:defRPr/>
            </a:pPr>
            <a:r>
              <a:rPr lang="en-US"/>
              <a:t>based on Popper 2014</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CCA2-45AB-A6D5-AA82B7936606}"/>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CCA2-45AB-A6D5-AA82B7936606}"/>
            </c:ext>
          </c:extLst>
        </c:ser>
        <c:ser>
          <c:idx val="2"/>
          <c:order val="2"/>
          <c:tx>
            <c:strRef>
              <c:f>'Fishes SB1'!$B$15</c:f>
              <c:strCache>
                <c:ptCount val="1"/>
                <c:pt idx="0">
                  <c:v>203</c:v>
                </c:pt>
              </c:strCache>
            </c:strRef>
          </c:tx>
          <c:spPr>
            <a:ln w="22225" cap="rnd">
              <a:solidFill>
                <a:schemeClr val="accent1"/>
              </a:solidFill>
              <a:round/>
            </a:ln>
            <a:effectLst/>
          </c:spPr>
          <c:marker>
            <c:symbol val="none"/>
          </c:marker>
          <c:xVal>
            <c:numRef>
              <c:f>'Fishes SB1'!$A$16:$A$17</c:f>
              <c:numCache>
                <c:formatCode>General</c:formatCode>
                <c:ptCount val="2"/>
                <c:pt idx="0">
                  <c:v>1</c:v>
                </c:pt>
                <c:pt idx="1">
                  <c:v>5000</c:v>
                </c:pt>
              </c:numCache>
            </c:numRef>
          </c:xVal>
          <c:yVal>
            <c:numRef>
              <c:f>'Fishes SB1'!$B$16:$B$17</c:f>
              <c:numCache>
                <c:formatCode>General</c:formatCode>
                <c:ptCount val="2"/>
                <c:pt idx="0">
                  <c:v>203</c:v>
                </c:pt>
                <c:pt idx="1">
                  <c:v>203</c:v>
                </c:pt>
              </c:numCache>
            </c:numRef>
          </c:yVal>
          <c:smooth val="0"/>
          <c:extLst>
            <c:ext xmlns:c16="http://schemas.microsoft.com/office/drawing/2014/chart" uri="{C3380CC4-5D6E-409C-BE32-E72D297353CC}">
              <c16:uniqueId val="{00000000-5F96-4A58-A106-EE4D0BE64805}"/>
            </c:ext>
          </c:extLst>
        </c:ser>
        <c:ser>
          <c:idx val="3"/>
          <c:order val="3"/>
          <c:tx>
            <c:strRef>
              <c:f>'Fishes SB1'!$C$15</c:f>
              <c:strCache>
                <c:ptCount val="1"/>
                <c:pt idx="0">
                  <c:v>207</c:v>
                </c:pt>
              </c:strCache>
            </c:strRef>
          </c:tx>
          <c:spPr>
            <a:ln w="22225" cap="rnd">
              <a:solidFill>
                <a:schemeClr val="accent2"/>
              </a:solidFill>
              <a:round/>
            </a:ln>
            <a:effectLst/>
          </c:spPr>
          <c:marker>
            <c:symbol val="none"/>
          </c:marker>
          <c:xVal>
            <c:numRef>
              <c:f>'Fishes SB1'!$A$16:$A$17</c:f>
              <c:numCache>
                <c:formatCode>General</c:formatCode>
                <c:ptCount val="2"/>
                <c:pt idx="0">
                  <c:v>1</c:v>
                </c:pt>
                <c:pt idx="1">
                  <c:v>5000</c:v>
                </c:pt>
              </c:numCache>
            </c:numRef>
          </c:xVal>
          <c:yVal>
            <c:numRef>
              <c:f>'Fishes SB1'!$C$16:$C$17</c:f>
              <c:numCache>
                <c:formatCode>General</c:formatCode>
                <c:ptCount val="2"/>
                <c:pt idx="0">
                  <c:v>207</c:v>
                </c:pt>
                <c:pt idx="1">
                  <c:v>207</c:v>
                </c:pt>
              </c:numCache>
            </c:numRef>
          </c:yVal>
          <c:smooth val="0"/>
          <c:extLst>
            <c:ext xmlns:c16="http://schemas.microsoft.com/office/drawing/2014/chart" uri="{C3380CC4-5D6E-409C-BE32-E72D297353CC}">
              <c16:uniqueId val="{00000001-5F96-4A58-A106-EE4D0BE64805}"/>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1859650356205476"/>
          <c:y val="0.12901778612900661"/>
          <c:w val="0.29489653637045365"/>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Temporary Threshold Shift Fish</a:t>
            </a:r>
          </a:p>
          <a:p>
            <a:pPr>
              <a:defRPr/>
            </a:pPr>
            <a:r>
              <a:rPr lang="en-US"/>
              <a:t>based on Popper 2014</a:t>
            </a:r>
          </a:p>
        </c:rich>
      </c:tx>
      <c:layout>
        <c:manualLayout>
          <c:xMode val="edge"/>
          <c:yMode val="edge"/>
          <c:x val="0.27757936507936504"/>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3595-441E-84D3-E9B1BCE84698}"/>
            </c:ext>
          </c:extLst>
        </c:ser>
        <c:ser>
          <c:idx val="1"/>
          <c:order val="1"/>
          <c:tx>
            <c:strRef>
              <c:f>'Fishes SB1'!$D$15</c:f>
              <c:strCache>
                <c:ptCount val="1"/>
                <c:pt idx="0">
                  <c:v>186</c:v>
                </c:pt>
              </c:strCache>
            </c:strRef>
          </c:tx>
          <c:spPr>
            <a:ln w="22225" cap="rnd">
              <a:solidFill>
                <a:schemeClr val="accent1"/>
              </a:solidFill>
              <a:round/>
            </a:ln>
            <a:effectLst/>
          </c:spPr>
          <c:marker>
            <c:symbol val="none"/>
          </c:marker>
          <c:xVal>
            <c:numRef>
              <c:f>'Fishes SB1'!$A$16:$A$17</c:f>
              <c:numCache>
                <c:formatCode>General</c:formatCode>
                <c:ptCount val="2"/>
                <c:pt idx="0">
                  <c:v>1</c:v>
                </c:pt>
                <c:pt idx="1">
                  <c:v>5000</c:v>
                </c:pt>
              </c:numCache>
            </c:numRef>
          </c:xVal>
          <c:yVal>
            <c:numRef>
              <c:f>'Fishes SB1'!$D$16:$D$17</c:f>
              <c:numCache>
                <c:formatCode>General</c:formatCode>
                <c:ptCount val="2"/>
                <c:pt idx="0">
                  <c:v>186</c:v>
                </c:pt>
                <c:pt idx="1">
                  <c:v>186</c:v>
                </c:pt>
              </c:numCache>
            </c:numRef>
          </c:yVal>
          <c:smooth val="0"/>
          <c:extLst>
            <c:ext xmlns:c16="http://schemas.microsoft.com/office/drawing/2014/chart" uri="{C3380CC4-5D6E-409C-BE32-E72D297353CC}">
              <c16:uniqueId val="{00000001-E7C5-4A71-8878-EE3067F881A5}"/>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4648267033603552"/>
          <c:y val="0.12901786313175456"/>
          <c:w val="0.28086352487189103"/>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Lrms </a:t>
            </a:r>
            <a:r>
              <a:rPr lang="en-US" sz="1200" b="0" i="0" u="none" strike="noStrike" baseline="0">
                <a:effectLst/>
              </a:rPr>
              <a:t>Behavior Fish </a:t>
            </a:r>
            <a:r>
              <a:rPr lang="en-US"/>
              <a:t> </a:t>
            </a:r>
          </a:p>
          <a:p>
            <a:pPr>
              <a:defRPr/>
            </a:pPr>
            <a:r>
              <a:rPr lang="en-US"/>
              <a:t>based on NMFS 2016</a:t>
            </a:r>
          </a:p>
        </c:rich>
      </c:tx>
      <c:layout>
        <c:manualLayout>
          <c:xMode val="edge"/>
          <c:yMode val="edge"/>
          <c:x val="0.34357013967004124"/>
          <c:y val="3.1051709164312932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365435089844539"/>
          <c:y val="0.12295023459466049"/>
          <c:w val="0.78321907986353767"/>
          <c:h val="0.70719174087518177"/>
        </c:manualLayout>
      </c:layout>
      <c:scatterChart>
        <c:scatterStyle val="lineMarker"/>
        <c:varyColors val="0"/>
        <c:ser>
          <c:idx val="2"/>
          <c:order val="0"/>
          <c:tx>
            <c:strRef>
              <c:f>Calcs!$L$5</c:f>
              <c:strCache>
                <c:ptCount val="1"/>
                <c:pt idx="0">
                  <c:v>Lrms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Calcs!$L$6:$L$51</c:f>
              <c:numCache>
                <c:formatCode>0.00</c:formatCode>
                <c:ptCount val="46"/>
                <c:pt idx="0">
                  <c:v>212.95413557145639</c:v>
                </c:pt>
                <c:pt idx="1">
                  <c:v>211.80297529090564</c:v>
                </c:pt>
                <c:pt idx="2">
                  <c:v>210.65151458423546</c:v>
                </c:pt>
                <c:pt idx="3">
                  <c:v>209.4996756634892</c:v>
                </c:pt>
                <c:pt idx="4">
                  <c:v>208.34736059943143</c:v>
                </c:pt>
                <c:pt idx="5">
                  <c:v>207.19444610645925</c:v>
                </c:pt>
                <c:pt idx="6">
                  <c:v>206.04077697719401</c:v>
                </c:pt>
                <c:pt idx="7">
                  <c:v>204.88615781712286</c:v>
                </c:pt>
                <c:pt idx="8">
                  <c:v>203.73034263912817</c:v>
                </c:pt>
                <c:pt idx="9">
                  <c:v>202.5730217637765</c:v>
                </c:pt>
                <c:pt idx="10">
                  <c:v>201.41380532775972</c:v>
                </c:pt>
                <c:pt idx="11">
                  <c:v>200.25220252225205</c:v>
                </c:pt>
                <c:pt idx="12">
                  <c:v>199.08759545555031</c:v>
                </c:pt>
                <c:pt idx="13">
                  <c:v>197.91920624808773</c:v>
                </c:pt>
                <c:pt idx="14">
                  <c:v>196.74605560751033</c:v>
                </c:pt>
                <c:pt idx="15">
                  <c:v>195.56691067778812</c:v>
                </c:pt>
                <c:pt idx="16">
                  <c:v>194.38021938513589</c:v>
                </c:pt>
                <c:pt idx="17">
                  <c:v>193.18402778442442</c:v>
                </c:pt>
                <c:pt idx="18">
                  <c:v>191.9758760044773</c:v>
                </c:pt>
                <c:pt idx="19">
                  <c:v>190.75266725096083</c:v>
                </c:pt>
                <c:pt idx="20">
                  <c:v>189.51050289079311</c:v>
                </c:pt>
                <c:pt idx="21">
                  <c:v>188.24447483571626</c:v>
                </c:pt>
                <c:pt idx="22">
                  <c:v>186.94840416869891</c:v>
                </c:pt>
                <c:pt idx="23">
                  <c:v>185.61451209407312</c:v>
                </c:pt>
                <c:pt idx="24">
                  <c:v>184.23300568829913</c:v>
                </c:pt>
                <c:pt idx="25">
                  <c:v>182.79155639107708</c:v>
                </c:pt>
                <c:pt idx="26">
                  <c:v>181.27464346455474</c:v>
                </c:pt>
                <c:pt idx="27">
                  <c:v>179.66272745743996</c:v>
                </c:pt>
                <c:pt idx="28">
                  <c:v>177.93120965796874</c:v>
                </c:pt>
                <c:pt idx="29">
                  <c:v>176.04912212280374</c:v>
                </c:pt>
                <c:pt idx="30">
                  <c:v>173.97747852112681</c:v>
                </c:pt>
                <c:pt idx="31">
                  <c:v>171.66719797035816</c:v>
                </c:pt>
                <c:pt idx="32">
                  <c:v>169.05649130018503</c:v>
                </c:pt>
                <c:pt idx="33">
                  <c:v>166.06757055392683</c:v>
                </c:pt>
                <c:pt idx="34">
                  <c:v>162.60250649618683</c:v>
                </c:pt>
                <c:pt idx="35">
                  <c:v>158.5380135239667</c:v>
                </c:pt>
                <c:pt idx="36">
                  <c:v>153.71888425874326</c:v>
                </c:pt>
                <c:pt idx="37">
                  <c:v>147.94972418759579</c:v>
                </c:pt>
                <c:pt idx="38">
                  <c:v>140.9845461928833</c:v>
                </c:pt>
                <c:pt idx="39">
                  <c:v>132.51367084123351</c:v>
                </c:pt>
                <c:pt idx="40">
                  <c:v>122.14723482446405</c:v>
                </c:pt>
                <c:pt idx="41">
                  <c:v>109.39442931677799</c:v>
                </c:pt>
                <c:pt idx="42">
                  <c:v>93.637362615046669</c:v>
                </c:pt>
                <c:pt idx="43">
                  <c:v>74.098155152464699</c:v>
                </c:pt>
                <c:pt idx="44">
                  <c:v>49.797514575065364</c:v>
                </c:pt>
                <c:pt idx="45">
                  <c:v>19.502584852864196</c:v>
                </c:pt>
              </c:numCache>
            </c:numRef>
          </c:yVal>
          <c:smooth val="0"/>
          <c:extLst>
            <c:ext xmlns:c16="http://schemas.microsoft.com/office/drawing/2014/chart" uri="{C3380CC4-5D6E-409C-BE32-E72D297353CC}">
              <c16:uniqueId val="{00000000-A947-43C9-8494-BAACAF4793B6}"/>
            </c:ext>
          </c:extLst>
        </c:ser>
        <c:ser>
          <c:idx val="0"/>
          <c:order val="1"/>
          <c:tx>
            <c:strRef>
              <c:f>'Fishes SB1'!$H$15</c:f>
              <c:strCache>
                <c:ptCount val="1"/>
                <c:pt idx="0">
                  <c:v>150</c:v>
                </c:pt>
              </c:strCache>
            </c:strRef>
          </c:tx>
          <c:spPr>
            <a:ln w="22225" cap="rnd">
              <a:solidFill>
                <a:schemeClr val="bg1">
                  <a:lumMod val="65000"/>
                </a:schemeClr>
              </a:solidFill>
              <a:round/>
            </a:ln>
            <a:effectLst/>
          </c:spPr>
          <c:marker>
            <c:symbol val="none"/>
          </c:marker>
          <c:xVal>
            <c:numRef>
              <c:f>'Fishes SB1'!$A$16:$A$17</c:f>
              <c:numCache>
                <c:formatCode>General</c:formatCode>
                <c:ptCount val="2"/>
                <c:pt idx="0">
                  <c:v>1</c:v>
                </c:pt>
                <c:pt idx="1">
                  <c:v>5000</c:v>
                </c:pt>
              </c:numCache>
            </c:numRef>
          </c:xVal>
          <c:yVal>
            <c:numRef>
              <c:f>'Fishes SB1'!$H$16:$H$17</c:f>
              <c:numCache>
                <c:formatCode>General</c:formatCode>
                <c:ptCount val="2"/>
                <c:pt idx="0">
                  <c:v>150</c:v>
                </c:pt>
                <c:pt idx="1">
                  <c:v>150</c:v>
                </c:pt>
              </c:numCache>
            </c:numRef>
          </c:yVal>
          <c:smooth val="0"/>
          <c:extLst>
            <c:ext xmlns:c16="http://schemas.microsoft.com/office/drawing/2014/chart" uri="{C3380CC4-5D6E-409C-BE32-E72D297353CC}">
              <c16:uniqueId val="{00000000-FCEB-413E-8D0E-6D3EC6A0D72C}"/>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2171154386951634"/>
              <c:y val="0.9270613395547778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5.0826486925820667E-3"/>
              <c:y val="0.405849994557132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73725256999125122"/>
          <c:y val="0.13217286049471089"/>
          <c:w val="0.17623461129858767"/>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Injury Fish</a:t>
            </a:r>
          </a:p>
          <a:p>
            <a:pPr>
              <a:defRPr/>
            </a:pPr>
            <a:r>
              <a:rPr lang="en-US"/>
              <a:t>Based on Stadler and Woodbury 2009</a:t>
            </a:r>
          </a:p>
        </c:rich>
      </c:tx>
      <c:layout>
        <c:manualLayout>
          <c:xMode val="edge"/>
          <c:yMode val="edge"/>
          <c:x val="0.30805922805152974"/>
          <c:y val="6.2102322436968114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0F5F-4F53-ADB8-AA21C7C3D459}"/>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0F5F-4F53-ADB8-AA21C7C3D459}"/>
            </c:ext>
          </c:extLst>
        </c:ser>
        <c:ser>
          <c:idx val="2"/>
          <c:order val="2"/>
          <c:tx>
            <c:strRef>
              <c:f>'Fishes SB1'!$E$15</c:f>
              <c:strCache>
                <c:ptCount val="1"/>
                <c:pt idx="0">
                  <c:v>183</c:v>
                </c:pt>
              </c:strCache>
            </c:strRef>
          </c:tx>
          <c:spPr>
            <a:ln w="22225" cap="rnd">
              <a:solidFill>
                <a:schemeClr val="accent1"/>
              </a:solidFill>
              <a:round/>
            </a:ln>
            <a:effectLst/>
          </c:spPr>
          <c:marker>
            <c:symbol val="none"/>
          </c:marker>
          <c:xVal>
            <c:numRef>
              <c:f>'Fishes SB1'!$A$16:$A$17</c:f>
              <c:numCache>
                <c:formatCode>General</c:formatCode>
                <c:ptCount val="2"/>
                <c:pt idx="0">
                  <c:v>1</c:v>
                </c:pt>
                <c:pt idx="1">
                  <c:v>5000</c:v>
                </c:pt>
              </c:numCache>
            </c:numRef>
          </c:xVal>
          <c:yVal>
            <c:numRef>
              <c:f>'Fishes SB1'!$E$16:$E$17</c:f>
              <c:numCache>
                <c:formatCode>General</c:formatCode>
                <c:ptCount val="2"/>
                <c:pt idx="0">
                  <c:v>183</c:v>
                </c:pt>
                <c:pt idx="1">
                  <c:v>183</c:v>
                </c:pt>
              </c:numCache>
            </c:numRef>
          </c:yVal>
          <c:smooth val="0"/>
          <c:extLst>
            <c:ext xmlns:c16="http://schemas.microsoft.com/office/drawing/2014/chart" uri="{C3380CC4-5D6E-409C-BE32-E72D297353CC}">
              <c16:uniqueId val="{00000000-BC66-4CEA-B2C1-4F1148636B22}"/>
            </c:ext>
          </c:extLst>
        </c:ser>
        <c:ser>
          <c:idx val="3"/>
          <c:order val="3"/>
          <c:tx>
            <c:strRef>
              <c:f>'Fishes SB1'!$F$15</c:f>
              <c:strCache>
                <c:ptCount val="1"/>
                <c:pt idx="0">
                  <c:v>187</c:v>
                </c:pt>
              </c:strCache>
            </c:strRef>
          </c:tx>
          <c:spPr>
            <a:ln w="22225" cap="rnd">
              <a:solidFill>
                <a:schemeClr val="accent1"/>
              </a:solidFill>
              <a:prstDash val="dashDot"/>
              <a:round/>
            </a:ln>
            <a:effectLst/>
          </c:spPr>
          <c:marker>
            <c:symbol val="none"/>
          </c:marker>
          <c:xVal>
            <c:numRef>
              <c:f>'Fishes SB1'!$A$16:$A$17</c:f>
              <c:numCache>
                <c:formatCode>General</c:formatCode>
                <c:ptCount val="2"/>
                <c:pt idx="0">
                  <c:v>1</c:v>
                </c:pt>
                <c:pt idx="1">
                  <c:v>5000</c:v>
                </c:pt>
              </c:numCache>
            </c:numRef>
          </c:xVal>
          <c:yVal>
            <c:numRef>
              <c:f>'Fishes SB1'!$F$16:$F$17</c:f>
              <c:numCache>
                <c:formatCode>General</c:formatCode>
                <c:ptCount val="2"/>
                <c:pt idx="0">
                  <c:v>187</c:v>
                </c:pt>
                <c:pt idx="1">
                  <c:v>187</c:v>
                </c:pt>
              </c:numCache>
            </c:numRef>
          </c:yVal>
          <c:smooth val="0"/>
          <c:extLst>
            <c:ext xmlns:c16="http://schemas.microsoft.com/office/drawing/2014/chart" uri="{C3380CC4-5D6E-409C-BE32-E72D297353CC}">
              <c16:uniqueId val="{00000001-BC66-4CEA-B2C1-4F1148636B22}"/>
            </c:ext>
          </c:extLst>
        </c:ser>
        <c:ser>
          <c:idx val="4"/>
          <c:order val="4"/>
          <c:tx>
            <c:strRef>
              <c:f>'Fishes SB1'!$G$15</c:f>
              <c:strCache>
                <c:ptCount val="1"/>
                <c:pt idx="0">
                  <c:v>206</c:v>
                </c:pt>
              </c:strCache>
            </c:strRef>
          </c:tx>
          <c:spPr>
            <a:ln w="22225" cap="rnd">
              <a:solidFill>
                <a:schemeClr val="accent2"/>
              </a:solidFill>
              <a:round/>
            </a:ln>
            <a:effectLst/>
          </c:spPr>
          <c:marker>
            <c:symbol val="none"/>
          </c:marker>
          <c:xVal>
            <c:numRef>
              <c:f>'Fishes SB1'!$A$16:$A$17</c:f>
              <c:numCache>
                <c:formatCode>General</c:formatCode>
                <c:ptCount val="2"/>
                <c:pt idx="0">
                  <c:v>1</c:v>
                </c:pt>
                <c:pt idx="1">
                  <c:v>5000</c:v>
                </c:pt>
              </c:numCache>
            </c:numRef>
          </c:xVal>
          <c:yVal>
            <c:numRef>
              <c:f>'Fishes SB1'!$G$16:$G$17</c:f>
              <c:numCache>
                <c:formatCode>General</c:formatCode>
                <c:ptCount val="2"/>
                <c:pt idx="0">
                  <c:v>206</c:v>
                </c:pt>
                <c:pt idx="1">
                  <c:v>206</c:v>
                </c:pt>
              </c:numCache>
            </c:numRef>
          </c:yVal>
          <c:smooth val="0"/>
          <c:extLst>
            <c:ext xmlns:c16="http://schemas.microsoft.com/office/drawing/2014/chart" uri="{C3380CC4-5D6E-409C-BE32-E72D297353CC}">
              <c16:uniqueId val="{00000002-BC66-4CEA-B2C1-4F1148636B22}"/>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54915205911761034"/>
          <c:y val="0.12901778612900661"/>
          <c:w val="0.36652254405699286"/>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en-US"/>
              <a:t>SEL and Lpk Recoverable Injury Fish  </a:t>
            </a:r>
          </a:p>
          <a:p>
            <a:pPr>
              <a:defRPr/>
            </a:pPr>
            <a:r>
              <a:rPr lang="en-US"/>
              <a:t>based on Popper 2014</a:t>
            </a:r>
          </a:p>
        </c:rich>
      </c:tx>
      <c:layout>
        <c:manualLayout>
          <c:xMode val="edge"/>
          <c:yMode val="edge"/>
          <c:x val="0.28501984126984126"/>
          <c:y val="9.2592592592592587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803804172662968"/>
          <c:y val="0.12295017443465982"/>
          <c:w val="0.77585059528197153"/>
          <c:h val="0.70719174087518177"/>
        </c:manualLayout>
      </c:layout>
      <c:scatterChart>
        <c:scatterStyle val="lineMarker"/>
        <c:varyColors val="0"/>
        <c:ser>
          <c:idx val="0"/>
          <c:order val="0"/>
          <c:tx>
            <c:strRef>
              <c:f>Calcs!$J$5</c:f>
              <c:strCache>
                <c:ptCount val="1"/>
                <c:pt idx="0">
                  <c:v>SELcum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Calcs!$J$6:$J$51</c:f>
              <c:numCache>
                <c:formatCode>0.00</c:formatCode>
                <c:ptCount val="46"/>
                <c:pt idx="0">
                  <c:v>215.21068749680055</c:v>
                </c:pt>
                <c:pt idx="1">
                  <c:v>214.20967855719118</c:v>
                </c:pt>
                <c:pt idx="2">
                  <c:v>213.20840837747798</c:v>
                </c:pt>
                <c:pt idx="3">
                  <c:v>212.2068093159595</c:v>
                </c:pt>
                <c:pt idx="4">
                  <c:v>211.20479621677885</c:v>
                </c:pt>
                <c:pt idx="5">
                  <c:v>210.2022618750639</c:v>
                </c:pt>
                <c:pt idx="6">
                  <c:v>209.19907132787674</c:v>
                </c:pt>
                <c:pt idx="7">
                  <c:v>208.19505466694531</c:v>
                </c:pt>
                <c:pt idx="8">
                  <c:v>207.18999799042817</c:v>
                </c:pt>
                <c:pt idx="9">
                  <c:v>206.1836320118615</c:v>
                </c:pt>
                <c:pt idx="10">
                  <c:v>205.175617719673</c:v>
                </c:pt>
                <c:pt idx="11">
                  <c:v>204.16552832357937</c:v>
                </c:pt>
                <c:pt idx="12">
                  <c:v>203.15282652644743</c:v>
                </c:pt>
                <c:pt idx="13">
                  <c:v>202.13683591126258</c:v>
                </c:pt>
                <c:pt idx="14">
                  <c:v>201.11670491945614</c:v>
                </c:pt>
                <c:pt idx="15">
                  <c:v>200.0913615023064</c:v>
                </c:pt>
                <c:pt idx="16">
                  <c:v>199.05945603043489</c:v>
                </c:pt>
                <c:pt idx="17">
                  <c:v>198.01928942112056</c:v>
                </c:pt>
                <c:pt idx="18">
                  <c:v>196.96872265594916</c:v>
                </c:pt>
                <c:pt idx="19">
                  <c:v>195.90506287028265</c:v>
                </c:pt>
                <c:pt idx="20">
                  <c:v>194.82491994839768</c:v>
                </c:pt>
                <c:pt idx="21">
                  <c:v>193.72402598746129</c:v>
                </c:pt>
                <c:pt idx="22">
                  <c:v>192.59700801614187</c:v>
                </c:pt>
                <c:pt idx="23">
                  <c:v>191.43710186429334</c:v>
                </c:pt>
                <c:pt idx="24">
                  <c:v>190.235791946229</c:v>
                </c:pt>
                <c:pt idx="25">
                  <c:v>188.98235777473158</c:v>
                </c:pt>
                <c:pt idx="26">
                  <c:v>187.6633030560165</c:v>
                </c:pt>
                <c:pt idx="27">
                  <c:v>186.26163696287321</c:v>
                </c:pt>
                <c:pt idx="28">
                  <c:v>184.75596931115911</c:v>
                </c:pt>
                <c:pt idx="29">
                  <c:v>183.11937145449389</c:v>
                </c:pt>
                <c:pt idx="30">
                  <c:v>181.31794223564438</c:v>
                </c:pt>
                <c:pt idx="31">
                  <c:v>179.30900262628035</c:v>
                </c:pt>
                <c:pt idx="32">
                  <c:v>177.03882291308631</c:v>
                </c:pt>
                <c:pt idx="33">
                  <c:v>174.43976139460091</c:v>
                </c:pt>
                <c:pt idx="34">
                  <c:v>171.42666221395746</c:v>
                </c:pt>
                <c:pt idx="35">
                  <c:v>167.89232049898342</c:v>
                </c:pt>
                <c:pt idx="36">
                  <c:v>163.7017733118326</c:v>
                </c:pt>
                <c:pt idx="37">
                  <c:v>158.68511238040003</c:v>
                </c:pt>
                <c:pt idx="38">
                  <c:v>152.62843586325872</c:v>
                </c:pt>
                <c:pt idx="39">
                  <c:v>145.26245729660673</c:v>
                </c:pt>
                <c:pt idx="40">
                  <c:v>136.24816510811155</c:v>
                </c:pt>
                <c:pt idx="41">
                  <c:v>125.15876901447149</c:v>
                </c:pt>
                <c:pt idx="42">
                  <c:v>111.45697188253121</c:v>
                </c:pt>
                <c:pt idx="43">
                  <c:v>94.466356697677327</c:v>
                </c:pt>
                <c:pt idx="44">
                  <c:v>73.335364891243117</c:v>
                </c:pt>
                <c:pt idx="45">
                  <c:v>46.991947741502969</c:v>
                </c:pt>
              </c:numCache>
            </c:numRef>
          </c:yVal>
          <c:smooth val="0"/>
          <c:extLst>
            <c:ext xmlns:c16="http://schemas.microsoft.com/office/drawing/2014/chart" uri="{C3380CC4-5D6E-409C-BE32-E72D297353CC}">
              <c16:uniqueId val="{00000000-BEE7-4F5B-B7D0-FB6E33CDA46F}"/>
            </c:ext>
          </c:extLst>
        </c:ser>
        <c:ser>
          <c:idx val="1"/>
          <c:order val="1"/>
          <c:tx>
            <c:strRef>
              <c:f>Calcs!$K$5</c:f>
              <c:strCache>
                <c:ptCount val="1"/>
                <c:pt idx="0">
                  <c:v>Lpk</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Calcs!$G$6:$G$51</c:f>
              <c:numCache>
                <c:formatCode>0.00</c:formatCode>
                <c:ptCount val="46"/>
                <c:pt idx="0">
                  <c:v>3.0000000000000004</c:v>
                </c:pt>
                <c:pt idx="1">
                  <c:v>3.7767762353825027</c:v>
                </c:pt>
                <c:pt idx="2">
                  <c:v>4.7546795773833415</c:v>
                </c:pt>
                <c:pt idx="3">
                  <c:v>5.9857869449066392</c:v>
                </c:pt>
                <c:pt idx="4">
                  <c:v>7.5356592945287408</c:v>
                </c:pt>
                <c:pt idx="5">
                  <c:v>9.4868329805051381</c:v>
                </c:pt>
                <c:pt idx="6">
                  <c:v>11.943215116604922</c:v>
                </c:pt>
                <c:pt idx="7">
                  <c:v>15.03561700881818</c:v>
                </c:pt>
                <c:pt idx="8">
                  <c:v>18.92872033440581</c:v>
                </c:pt>
                <c:pt idx="9">
                  <c:v>23.82984704172847</c:v>
                </c:pt>
                <c:pt idx="10">
                  <c:v>30.000000000000043</c:v>
                </c:pt>
                <c:pt idx="11">
                  <c:v>37.76776235382507</c:v>
                </c:pt>
                <c:pt idx="12">
                  <c:v>47.546795773833487</c:v>
                </c:pt>
                <c:pt idx="13">
                  <c:v>59.857869449066513</c:v>
                </c:pt>
                <c:pt idx="14">
                  <c:v>75.356592945287559</c:v>
                </c:pt>
                <c:pt idx="15">
                  <c:v>94.868329805051573</c:v>
                </c:pt>
                <c:pt idx="16">
                  <c:v>119.43215116604941</c:v>
                </c:pt>
                <c:pt idx="17">
                  <c:v>150.3561700881821</c:v>
                </c:pt>
                <c:pt idx="18">
                  <c:v>189.28720334405847</c:v>
                </c:pt>
                <c:pt idx="19">
                  <c:v>238.29847041728507</c:v>
                </c:pt>
                <c:pt idx="20">
                  <c:v>300.00000000000074</c:v>
                </c:pt>
                <c:pt idx="21">
                  <c:v>377.67762353825145</c:v>
                </c:pt>
                <c:pt idx="22">
                  <c:v>475.4679577383356</c:v>
                </c:pt>
                <c:pt idx="23">
                  <c:v>598.57869449066584</c:v>
                </c:pt>
                <c:pt idx="24">
                  <c:v>753.56592945287707</c:v>
                </c:pt>
                <c:pt idx="25">
                  <c:v>948.68329805051758</c:v>
                </c:pt>
                <c:pt idx="26">
                  <c:v>1194.3215116604963</c:v>
                </c:pt>
                <c:pt idx="27">
                  <c:v>1503.561700881824</c:v>
                </c:pt>
                <c:pt idx="28">
                  <c:v>1892.8720334405884</c:v>
                </c:pt>
                <c:pt idx="29">
                  <c:v>2382.9847041728553</c:v>
                </c:pt>
                <c:pt idx="30">
                  <c:v>3000.0000000000136</c:v>
                </c:pt>
                <c:pt idx="31">
                  <c:v>3776.7762353825219</c:v>
                </c:pt>
                <c:pt idx="32">
                  <c:v>4754.6795773833701</c:v>
                </c:pt>
                <c:pt idx="33">
                  <c:v>5985.7869449066702</c:v>
                </c:pt>
                <c:pt idx="34">
                  <c:v>7535.6592945287857</c:v>
                </c:pt>
                <c:pt idx="35">
                  <c:v>9486.8329805052035</c:v>
                </c:pt>
                <c:pt idx="36">
                  <c:v>11943.215116604988</c:v>
                </c:pt>
                <c:pt idx="37">
                  <c:v>15035.617008818243</c:v>
                </c:pt>
                <c:pt idx="38">
                  <c:v>18928.720334405905</c:v>
                </c:pt>
                <c:pt idx="39">
                  <c:v>23829.847041728561</c:v>
                </c:pt>
                <c:pt idx="40">
                  <c:v>30000.000000000116</c:v>
                </c:pt>
                <c:pt idx="41">
                  <c:v>37767.762353825128</c:v>
                </c:pt>
                <c:pt idx="42">
                  <c:v>47546.795773833495</c:v>
                </c:pt>
                <c:pt idx="43">
                  <c:v>59857.869449066449</c:v>
                </c:pt>
                <c:pt idx="44">
                  <c:v>75356.592945287412</c:v>
                </c:pt>
                <c:pt idx="45">
                  <c:v>94868.329805051297</c:v>
                </c:pt>
              </c:numCache>
            </c:numRef>
          </c:xVal>
          <c:yVal>
            <c:numRef>
              <c:f>Calcs!$K$6:$K$51</c:f>
              <c:numCache>
                <c:formatCode>0.00</c:formatCode>
                <c:ptCount val="46"/>
                <c:pt idx="0">
                  <c:v>225.26340593158187</c:v>
                </c:pt>
                <c:pt idx="1">
                  <c:v>224.06119419511103</c:v>
                </c:pt>
                <c:pt idx="2">
                  <c:v>222.85866870927546</c:v>
                </c:pt>
                <c:pt idx="3">
                  <c:v>221.65574823639179</c:v>
                </c:pt>
                <c:pt idx="4">
                  <c:v>220.45233050427581</c:v>
                </c:pt>
                <c:pt idx="5">
                  <c:v>219.24828675987615</c:v>
                </c:pt>
                <c:pt idx="6">
                  <c:v>218.04345491270439</c:v>
                </c:pt>
                <c:pt idx="7">
                  <c:v>216.83763090292572</c:v>
                </c:pt>
                <c:pt idx="8">
                  <c:v>215.63055783442866</c:v>
                </c:pt>
                <c:pt idx="9">
                  <c:v>214.42191229417008</c:v>
                </c:pt>
                <c:pt idx="10">
                  <c:v>213.2112871292517</c:v>
                </c:pt>
                <c:pt idx="11">
                  <c:v>211.99816976454323</c:v>
                </c:pt>
                <c:pt idx="12">
                  <c:v>210.78191490618778</c:v>
                </c:pt>
                <c:pt idx="13">
                  <c:v>209.56171017735076</c:v>
                </c:pt>
                <c:pt idx="14">
                  <c:v>208.33653285619124</c:v>
                </c:pt>
                <c:pt idx="15">
                  <c:v>207.1050954121944</c:v>
                </c:pt>
                <c:pt idx="16">
                  <c:v>205.86577694047671</c:v>
                </c:pt>
                <c:pt idx="17">
                  <c:v>204.61653684269021</c:v>
                </c:pt>
                <c:pt idx="18">
                  <c:v>203.35480615771937</c:v>
                </c:pt>
                <c:pt idx="19">
                  <c:v>202.07735075513386</c:v>
                </c:pt>
                <c:pt idx="20">
                  <c:v>200.78009910595003</c:v>
                </c:pt>
                <c:pt idx="21">
                  <c:v>199.45792545886542</c:v>
                </c:pt>
                <c:pt idx="22">
                  <c:v>198.10437687531081</c:v>
                </c:pt>
                <c:pt idx="23">
                  <c:v>196.71132958694071</c:v>
                </c:pt>
                <c:pt idx="24">
                  <c:v>195.26855637534544</c:v>
                </c:pt>
                <c:pt idx="25">
                  <c:v>193.76318193537705</c:v>
                </c:pt>
                <c:pt idx="26">
                  <c:v>192.17899721820024</c:v>
                </c:pt>
                <c:pt idx="27">
                  <c:v>190.49559624033515</c:v>
                </c:pt>
                <c:pt idx="28">
                  <c:v>188.68728939062649</c:v>
                </c:pt>
                <c:pt idx="29">
                  <c:v>186.72173536477158</c:v>
                </c:pt>
                <c:pt idx="30">
                  <c:v>184.55821887293331</c:v>
                </c:pt>
                <c:pt idx="31">
                  <c:v>182.14548240208711</c:v>
                </c:pt>
                <c:pt idx="32">
                  <c:v>179.41899656654107</c:v>
                </c:pt>
                <c:pt idx="33">
                  <c:v>176.29752368284011</c:v>
                </c:pt>
                <c:pt idx="34">
                  <c:v>172.67879156688733</c:v>
                </c:pt>
                <c:pt idx="35">
                  <c:v>168.43404716720352</c:v>
                </c:pt>
                <c:pt idx="36">
                  <c:v>163.40119999543535</c:v>
                </c:pt>
                <c:pt idx="37">
                  <c:v>157.37619021678483</c:v>
                </c:pt>
                <c:pt idx="38">
                  <c:v>150.10212171969812</c:v>
                </c:pt>
                <c:pt idx="39">
                  <c:v>141.25558146114909</c:v>
                </c:pt>
                <c:pt idx="40">
                  <c:v>130.42941654276638</c:v>
                </c:pt>
                <c:pt idx="41">
                  <c:v>117.11105183430469</c:v>
                </c:pt>
                <c:pt idx="42">
                  <c:v>100.65519347884441</c:v>
                </c:pt>
                <c:pt idx="43">
                  <c:v>80.249464641834891</c:v>
                </c:pt>
                <c:pt idx="44">
                  <c:v>54.871143482307403</c:v>
                </c:pt>
                <c:pt idx="45">
                  <c:v>23.232699485469485</c:v>
                </c:pt>
              </c:numCache>
            </c:numRef>
          </c:yVal>
          <c:smooth val="0"/>
          <c:extLst>
            <c:ext xmlns:c16="http://schemas.microsoft.com/office/drawing/2014/chart" uri="{C3380CC4-5D6E-409C-BE32-E72D297353CC}">
              <c16:uniqueId val="{00000001-BEE7-4F5B-B7D0-FB6E33CDA46F}"/>
            </c:ext>
          </c:extLst>
        </c:ser>
        <c:ser>
          <c:idx val="2"/>
          <c:order val="2"/>
          <c:tx>
            <c:strRef>
              <c:f>'Fishes SB2'!$B$15</c:f>
              <c:strCache>
                <c:ptCount val="1"/>
                <c:pt idx="0">
                  <c:v>203</c:v>
                </c:pt>
              </c:strCache>
            </c:strRef>
          </c:tx>
          <c:spPr>
            <a:ln w="22225" cap="rnd">
              <a:solidFill>
                <a:schemeClr val="accent1"/>
              </a:solidFill>
              <a:round/>
            </a:ln>
            <a:effectLst/>
          </c:spPr>
          <c:marker>
            <c:symbol val="none"/>
          </c:marker>
          <c:xVal>
            <c:numRef>
              <c:f>'Fishes SB2'!$A$16:$A$17</c:f>
              <c:numCache>
                <c:formatCode>General</c:formatCode>
                <c:ptCount val="2"/>
                <c:pt idx="0">
                  <c:v>1</c:v>
                </c:pt>
                <c:pt idx="1">
                  <c:v>5000</c:v>
                </c:pt>
              </c:numCache>
            </c:numRef>
          </c:xVal>
          <c:yVal>
            <c:numRef>
              <c:f>'Fishes SB2'!$B$16:$B$17</c:f>
              <c:numCache>
                <c:formatCode>General</c:formatCode>
                <c:ptCount val="2"/>
                <c:pt idx="0">
                  <c:v>203</c:v>
                </c:pt>
                <c:pt idx="1">
                  <c:v>203</c:v>
                </c:pt>
              </c:numCache>
            </c:numRef>
          </c:yVal>
          <c:smooth val="0"/>
          <c:extLst>
            <c:ext xmlns:c16="http://schemas.microsoft.com/office/drawing/2014/chart" uri="{C3380CC4-5D6E-409C-BE32-E72D297353CC}">
              <c16:uniqueId val="{00000000-C31B-43BE-8295-794E0864F226}"/>
            </c:ext>
          </c:extLst>
        </c:ser>
        <c:ser>
          <c:idx val="3"/>
          <c:order val="3"/>
          <c:tx>
            <c:strRef>
              <c:f>'Fishes SB2'!$C$15</c:f>
              <c:strCache>
                <c:ptCount val="1"/>
                <c:pt idx="0">
                  <c:v>207</c:v>
                </c:pt>
              </c:strCache>
            </c:strRef>
          </c:tx>
          <c:spPr>
            <a:ln w="22225" cap="rnd">
              <a:solidFill>
                <a:schemeClr val="accent2"/>
              </a:solidFill>
              <a:round/>
            </a:ln>
            <a:effectLst/>
          </c:spPr>
          <c:marker>
            <c:symbol val="none"/>
          </c:marker>
          <c:xVal>
            <c:numRef>
              <c:f>'Fishes SB2'!$A$16:$A$17</c:f>
              <c:numCache>
                <c:formatCode>General</c:formatCode>
                <c:ptCount val="2"/>
                <c:pt idx="0">
                  <c:v>1</c:v>
                </c:pt>
                <c:pt idx="1">
                  <c:v>5000</c:v>
                </c:pt>
              </c:numCache>
            </c:numRef>
          </c:xVal>
          <c:yVal>
            <c:numRef>
              <c:f>'Fishes SB2'!$C$16:$C$17</c:f>
              <c:numCache>
                <c:formatCode>General</c:formatCode>
                <c:ptCount val="2"/>
                <c:pt idx="0">
                  <c:v>207</c:v>
                </c:pt>
                <c:pt idx="1">
                  <c:v>207</c:v>
                </c:pt>
              </c:numCache>
            </c:numRef>
          </c:yVal>
          <c:smooth val="0"/>
          <c:extLst>
            <c:ext xmlns:c16="http://schemas.microsoft.com/office/drawing/2014/chart" uri="{C3380CC4-5D6E-409C-BE32-E72D297353CC}">
              <c16:uniqueId val="{00000001-C31B-43BE-8295-794E0864F226}"/>
            </c:ext>
          </c:extLst>
        </c:ser>
        <c:dLbls>
          <c:showLegendKey val="0"/>
          <c:showVal val="0"/>
          <c:showCatName val="0"/>
          <c:showSerName val="0"/>
          <c:showPercent val="0"/>
          <c:showBubbleSize val="0"/>
        </c:dLbls>
        <c:axId val="511988336"/>
        <c:axId val="511988664"/>
      </c:scatterChart>
      <c:valAx>
        <c:axId val="511988336"/>
        <c:scaling>
          <c:logBase val="10"/>
          <c:orientation val="minMax"/>
          <c:max val="5000"/>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Distance from pile's axis of symmetry (m)</a:t>
                </a:r>
              </a:p>
            </c:rich>
          </c:tx>
          <c:layout>
            <c:manualLayout>
              <c:xMode val="edge"/>
              <c:yMode val="edge"/>
              <c:x val="0.31512369547556557"/>
              <c:y val="0.920787158549625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664"/>
        <c:crosses val="autoZero"/>
        <c:crossBetween val="midCat"/>
      </c:valAx>
      <c:valAx>
        <c:axId val="511988664"/>
        <c:scaling>
          <c:orientation val="minMax"/>
          <c:max val="25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Level (dB)</a:t>
                </a:r>
              </a:p>
            </c:rich>
          </c:tx>
          <c:layout>
            <c:manualLayout>
              <c:xMode val="edge"/>
              <c:yMode val="edge"/>
              <c:x val="1.052389892811873E-2"/>
              <c:y val="0.409014592770008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511988336"/>
        <c:crosses val="autoZero"/>
        <c:crossBetween val="midCat"/>
        <c:majorUnit val="10"/>
      </c:valAx>
      <c:spPr>
        <a:noFill/>
        <a:ln>
          <a:solidFill>
            <a:schemeClr val="tx1">
              <a:lumMod val="25000"/>
              <a:lumOff val="75000"/>
            </a:schemeClr>
          </a:solidFill>
        </a:ln>
        <a:effectLst/>
      </c:spPr>
    </c:plotArea>
    <c:legend>
      <c:legendPos val="b"/>
      <c:layout>
        <c:manualLayout>
          <c:xMode val="edge"/>
          <c:yMode val="edge"/>
          <c:x val="0.62107666229221359"/>
          <c:y val="0.13217435178557227"/>
          <c:w val="0.29241637764029493"/>
          <c:h val="5.70799033643521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247650</xdr:colOff>
      <xdr:row>4</xdr:row>
      <xdr:rowOff>28583</xdr:rowOff>
    </xdr:from>
    <xdr:to>
      <xdr:col>3</xdr:col>
      <xdr:colOff>266700</xdr:colOff>
      <xdr:row>6</xdr:row>
      <xdr:rowOff>295288</xdr:rowOff>
    </xdr:to>
    <xdr:grpSp>
      <xdr:nvGrpSpPr>
        <xdr:cNvPr id="2" name="Group 1">
          <a:extLst>
            <a:ext uri="{FF2B5EF4-FFF2-40B4-BE49-F238E27FC236}">
              <a16:creationId xmlns:a16="http://schemas.microsoft.com/office/drawing/2014/main" id="{B63A5640-7156-4179-9A55-D78FDD22A032}"/>
            </a:ext>
          </a:extLst>
        </xdr:cNvPr>
        <xdr:cNvGrpSpPr/>
      </xdr:nvGrpSpPr>
      <xdr:grpSpPr>
        <a:xfrm>
          <a:off x="914400" y="1285883"/>
          <a:ext cx="390525" cy="1047755"/>
          <a:chOff x="828675" y="1285876"/>
          <a:chExt cx="390525" cy="589361"/>
        </a:xfrm>
      </xdr:grpSpPr>
      <xdr:sp macro="" textlink="">
        <xdr:nvSpPr>
          <xdr:cNvPr id="6" name="Arrow: Right 5">
            <a:extLst>
              <a:ext uri="{FF2B5EF4-FFF2-40B4-BE49-F238E27FC236}">
                <a16:creationId xmlns:a16="http://schemas.microsoft.com/office/drawing/2014/main" id="{6377B913-F503-446D-9972-811AB2377B16}"/>
              </a:ext>
            </a:extLst>
          </xdr:cNvPr>
          <xdr:cNvSpPr/>
        </xdr:nvSpPr>
        <xdr:spPr>
          <a:xfrm>
            <a:off x="828675" y="1524598"/>
            <a:ext cx="39052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Arrow: Right 6">
            <a:extLst>
              <a:ext uri="{FF2B5EF4-FFF2-40B4-BE49-F238E27FC236}">
                <a16:creationId xmlns:a16="http://schemas.microsoft.com/office/drawing/2014/main" id="{A4E9BDE9-98BD-4388-A7C9-C7F2ABC314A5}"/>
              </a:ext>
            </a:extLst>
          </xdr:cNvPr>
          <xdr:cNvSpPr/>
        </xdr:nvSpPr>
        <xdr:spPr>
          <a:xfrm>
            <a:off x="828675" y="1741887"/>
            <a:ext cx="39052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Arrow: Right 7">
            <a:extLst>
              <a:ext uri="{FF2B5EF4-FFF2-40B4-BE49-F238E27FC236}">
                <a16:creationId xmlns:a16="http://schemas.microsoft.com/office/drawing/2014/main" id="{B6B47CE6-57B0-46BA-B304-F1E3590C752C}"/>
              </a:ext>
            </a:extLst>
          </xdr:cNvPr>
          <xdr:cNvSpPr/>
        </xdr:nvSpPr>
        <xdr:spPr>
          <a:xfrm>
            <a:off x="828675" y="1285876"/>
            <a:ext cx="39052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0.13123</cdr:x>
      <cdr:y>0.65438</cdr:y>
    </cdr:from>
    <cdr:to>
      <cdr:x>0.20539</cdr:x>
      <cdr:y>0.71523</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671996" y="2676387"/>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150</a:t>
          </a: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82825</xdr:colOff>
      <xdr:row>6</xdr:row>
      <xdr:rowOff>281608</xdr:rowOff>
    </xdr:from>
    <xdr:to>
      <xdr:col>17</xdr:col>
      <xdr:colOff>396320</xdr:colOff>
      <xdr:row>6</xdr:row>
      <xdr:rowOff>310183</xdr:rowOff>
    </xdr:to>
    <xdr:cxnSp macro="">
      <xdr:nvCxnSpPr>
        <xdr:cNvPr id="2" name="Straight Connector 1">
          <a:extLst>
            <a:ext uri="{FF2B5EF4-FFF2-40B4-BE49-F238E27FC236}">
              <a16:creationId xmlns:a16="http://schemas.microsoft.com/office/drawing/2014/main" id="{160CDF3A-63DC-428C-9495-7406232D2509}"/>
            </a:ext>
          </a:extLst>
        </xdr:cNvPr>
        <xdr:cNvCxnSpPr/>
      </xdr:nvCxnSpPr>
      <xdr:spPr>
        <a:xfrm flipH="1" flipV="1">
          <a:off x="7731400" y="1738933"/>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94835</xdr:colOff>
      <xdr:row>7</xdr:row>
      <xdr:rowOff>291962</xdr:rowOff>
    </xdr:from>
    <xdr:to>
      <xdr:col>17</xdr:col>
      <xdr:colOff>408330</xdr:colOff>
      <xdr:row>7</xdr:row>
      <xdr:rowOff>320537</xdr:rowOff>
    </xdr:to>
    <xdr:cxnSp macro="">
      <xdr:nvCxnSpPr>
        <xdr:cNvPr id="3" name="Straight Connector 2">
          <a:extLst>
            <a:ext uri="{FF2B5EF4-FFF2-40B4-BE49-F238E27FC236}">
              <a16:creationId xmlns:a16="http://schemas.microsoft.com/office/drawing/2014/main" id="{ECE2E2E6-0736-4FB2-9C23-F953290118D7}"/>
            </a:ext>
          </a:extLst>
        </xdr:cNvPr>
        <xdr:cNvCxnSpPr/>
      </xdr:nvCxnSpPr>
      <xdr:spPr>
        <a:xfrm flipH="1" flipV="1">
          <a:off x="7743410" y="2120762"/>
          <a:ext cx="4542595" cy="0"/>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19</xdr:col>
      <xdr:colOff>159092</xdr:colOff>
      <xdr:row>23</xdr:row>
      <xdr:rowOff>50869</xdr:rowOff>
    </xdr:from>
    <xdr:to>
      <xdr:col>25</xdr:col>
      <xdr:colOff>418614</xdr:colOff>
      <xdr:row>23</xdr:row>
      <xdr:rowOff>68332</xdr:rowOff>
    </xdr:to>
    <xdr:cxnSp macro="">
      <xdr:nvCxnSpPr>
        <xdr:cNvPr id="4" name="Straight Connector 3">
          <a:extLst>
            <a:ext uri="{FF2B5EF4-FFF2-40B4-BE49-F238E27FC236}">
              <a16:creationId xmlns:a16="http://schemas.microsoft.com/office/drawing/2014/main" id="{698EEFCD-AED6-4D71-AA7A-4354EB5B3B16}"/>
            </a:ext>
          </a:extLst>
        </xdr:cNvPr>
        <xdr:cNvCxnSpPr/>
      </xdr:nvCxnSpPr>
      <xdr:spPr>
        <a:xfrm flipH="1" flipV="1">
          <a:off x="13446467" y="5575369"/>
          <a:ext cx="4488622" cy="17463"/>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10</xdr:col>
      <xdr:colOff>698998</xdr:colOff>
      <xdr:row>1</xdr:row>
      <xdr:rowOff>190499</xdr:rowOff>
    </xdr:from>
    <xdr:to>
      <xdr:col>18</xdr:col>
      <xdr:colOff>180838</xdr:colOff>
      <xdr:row>18</xdr:row>
      <xdr:rowOff>47624</xdr:rowOff>
    </xdr:to>
    <xdr:grpSp>
      <xdr:nvGrpSpPr>
        <xdr:cNvPr id="30" name="Group 29">
          <a:extLst>
            <a:ext uri="{FF2B5EF4-FFF2-40B4-BE49-F238E27FC236}">
              <a16:creationId xmlns:a16="http://schemas.microsoft.com/office/drawing/2014/main" id="{70107CBD-C280-4A0F-8010-583EF77B0C19}"/>
            </a:ext>
          </a:extLst>
        </xdr:cNvPr>
        <xdr:cNvGrpSpPr>
          <a:grpSpLocks noChangeAspect="1"/>
        </xdr:cNvGrpSpPr>
      </xdr:nvGrpSpPr>
      <xdr:grpSpPr>
        <a:xfrm>
          <a:off x="8261848" y="609599"/>
          <a:ext cx="5120640" cy="4114800"/>
          <a:chOff x="8388271" y="187096"/>
          <a:chExt cx="5120640" cy="4023360"/>
        </a:xfrm>
      </xdr:grpSpPr>
      <xdr:graphicFrame macro="">
        <xdr:nvGraphicFramePr>
          <xdr:cNvPr id="5" name="Chart 4">
            <a:extLst>
              <a:ext uri="{FF2B5EF4-FFF2-40B4-BE49-F238E27FC236}">
                <a16:creationId xmlns:a16="http://schemas.microsoft.com/office/drawing/2014/main" id="{964F90CB-E970-41AD-BC11-F2EFEA1917B1}"/>
              </a:ext>
            </a:extLst>
          </xdr:cNvPr>
          <xdr:cNvGraphicFramePr>
            <a:graphicFrameLocks noChangeAspect="1"/>
          </xdr:cNvGraphicFramePr>
        </xdr:nvGraphicFramePr>
        <xdr:xfrm>
          <a:off x="8388271" y="187096"/>
          <a:ext cx="5120640" cy="402336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TextBox 7">
            <a:extLst>
              <a:ext uri="{FF2B5EF4-FFF2-40B4-BE49-F238E27FC236}">
                <a16:creationId xmlns:a16="http://schemas.microsoft.com/office/drawing/2014/main" id="{A864DE81-B477-482D-A5A8-49DD4C97B8BB}"/>
              </a:ext>
            </a:extLst>
          </xdr:cNvPr>
          <xdr:cNvSpPr txBox="1"/>
        </xdr:nvSpPr>
        <xdr:spPr>
          <a:xfrm>
            <a:off x="12932842" y="3573983"/>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xdr:from>
      <xdr:col>19</xdr:col>
      <xdr:colOff>106083</xdr:colOff>
      <xdr:row>29</xdr:row>
      <xdr:rowOff>320883</xdr:rowOff>
    </xdr:from>
    <xdr:to>
      <xdr:col>25</xdr:col>
      <xdr:colOff>365605</xdr:colOff>
      <xdr:row>29</xdr:row>
      <xdr:rowOff>338346</xdr:rowOff>
    </xdr:to>
    <xdr:cxnSp macro="">
      <xdr:nvCxnSpPr>
        <xdr:cNvPr id="9" name="Straight Connector 8">
          <a:extLst>
            <a:ext uri="{FF2B5EF4-FFF2-40B4-BE49-F238E27FC236}">
              <a16:creationId xmlns:a16="http://schemas.microsoft.com/office/drawing/2014/main" id="{B74D06D2-1047-4FC7-903A-5C5199C2258C}"/>
            </a:ext>
          </a:extLst>
        </xdr:cNvPr>
        <xdr:cNvCxnSpPr/>
      </xdr:nvCxnSpPr>
      <xdr:spPr>
        <a:xfrm flipH="1" flipV="1">
          <a:off x="13393458" y="6855033"/>
          <a:ext cx="4488622" cy="0"/>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10</xdr:col>
      <xdr:colOff>701385</xdr:colOff>
      <xdr:row>19</xdr:row>
      <xdr:rowOff>45139</xdr:rowOff>
    </xdr:from>
    <xdr:to>
      <xdr:col>18</xdr:col>
      <xdr:colOff>183225</xdr:colOff>
      <xdr:row>40</xdr:row>
      <xdr:rowOff>64189</xdr:rowOff>
    </xdr:to>
    <xdr:grpSp>
      <xdr:nvGrpSpPr>
        <xdr:cNvPr id="28" name="Group 27">
          <a:extLst>
            <a:ext uri="{FF2B5EF4-FFF2-40B4-BE49-F238E27FC236}">
              <a16:creationId xmlns:a16="http://schemas.microsoft.com/office/drawing/2014/main" id="{E2D74337-8079-453A-A608-2CE2341A95BF}"/>
            </a:ext>
          </a:extLst>
        </xdr:cNvPr>
        <xdr:cNvGrpSpPr>
          <a:grpSpLocks noChangeAspect="1"/>
        </xdr:cNvGrpSpPr>
      </xdr:nvGrpSpPr>
      <xdr:grpSpPr>
        <a:xfrm>
          <a:off x="8264235" y="4921939"/>
          <a:ext cx="5120640" cy="4114800"/>
          <a:chOff x="8390658" y="4380746"/>
          <a:chExt cx="5120640" cy="4023360"/>
        </a:xfrm>
      </xdr:grpSpPr>
      <xdr:graphicFrame macro="">
        <xdr:nvGraphicFramePr>
          <xdr:cNvPr id="19" name="Chart 18">
            <a:extLst>
              <a:ext uri="{FF2B5EF4-FFF2-40B4-BE49-F238E27FC236}">
                <a16:creationId xmlns:a16="http://schemas.microsoft.com/office/drawing/2014/main" id="{F8758484-20A2-42D4-9187-0CC141F97E85}"/>
              </a:ext>
            </a:extLst>
          </xdr:cNvPr>
          <xdr:cNvGraphicFramePr>
            <a:graphicFrameLocks noChangeAspect="1"/>
          </xdr:cNvGraphicFramePr>
        </xdr:nvGraphicFramePr>
        <xdr:xfrm>
          <a:off x="8390658" y="4380746"/>
          <a:ext cx="5120640" cy="402336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1" name="TextBox 20">
            <a:extLst>
              <a:ext uri="{FF2B5EF4-FFF2-40B4-BE49-F238E27FC236}">
                <a16:creationId xmlns:a16="http://schemas.microsoft.com/office/drawing/2014/main" id="{7D824CF6-EDFA-497E-9C95-2F4C7D4D9829}"/>
              </a:ext>
            </a:extLst>
          </xdr:cNvPr>
          <xdr:cNvSpPr txBox="1"/>
        </xdr:nvSpPr>
        <xdr:spPr>
          <a:xfrm>
            <a:off x="12941878" y="7753689"/>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19</xdr:col>
      <xdr:colOff>16564</xdr:colOff>
      <xdr:row>19</xdr:row>
      <xdr:rowOff>45139</xdr:rowOff>
    </xdr:from>
    <xdr:to>
      <xdr:col>26</xdr:col>
      <xdr:colOff>203254</xdr:colOff>
      <xdr:row>40</xdr:row>
      <xdr:rowOff>64189</xdr:rowOff>
    </xdr:to>
    <xdr:grpSp>
      <xdr:nvGrpSpPr>
        <xdr:cNvPr id="27" name="Group 26">
          <a:extLst>
            <a:ext uri="{FF2B5EF4-FFF2-40B4-BE49-F238E27FC236}">
              <a16:creationId xmlns:a16="http://schemas.microsoft.com/office/drawing/2014/main" id="{589EFAAD-CAF5-432A-B6AF-571AFE8E094E}"/>
            </a:ext>
          </a:extLst>
        </xdr:cNvPr>
        <xdr:cNvGrpSpPr>
          <a:grpSpLocks noChangeAspect="1"/>
        </xdr:cNvGrpSpPr>
      </xdr:nvGrpSpPr>
      <xdr:grpSpPr>
        <a:xfrm>
          <a:off x="13923064" y="4921939"/>
          <a:ext cx="5120640" cy="4114800"/>
          <a:chOff x="14018314" y="4380746"/>
          <a:chExt cx="5120640" cy="4023360"/>
        </a:xfrm>
      </xdr:grpSpPr>
      <xdr:graphicFrame macro="">
        <xdr:nvGraphicFramePr>
          <xdr:cNvPr id="10" name="Chart 9">
            <a:extLst>
              <a:ext uri="{FF2B5EF4-FFF2-40B4-BE49-F238E27FC236}">
                <a16:creationId xmlns:a16="http://schemas.microsoft.com/office/drawing/2014/main" id="{C81287AF-AB94-452C-8457-4CEB651B4AC9}"/>
              </a:ext>
            </a:extLst>
          </xdr:cNvPr>
          <xdr:cNvGraphicFramePr>
            <a:graphicFrameLocks noChangeAspect="1"/>
          </xdr:cNvGraphicFramePr>
        </xdr:nvGraphicFramePr>
        <xdr:xfrm>
          <a:off x="14018314" y="4380746"/>
          <a:ext cx="5120640" cy="402336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2" name="TextBox 21">
            <a:extLst>
              <a:ext uri="{FF2B5EF4-FFF2-40B4-BE49-F238E27FC236}">
                <a16:creationId xmlns:a16="http://schemas.microsoft.com/office/drawing/2014/main" id="{7B6EDE1E-648E-4AD6-AE0A-121C9CA129D1}"/>
              </a:ext>
            </a:extLst>
          </xdr:cNvPr>
          <xdr:cNvSpPr txBox="1"/>
        </xdr:nvSpPr>
        <xdr:spPr>
          <a:xfrm>
            <a:off x="18596451" y="7766301"/>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19</xdr:col>
      <xdr:colOff>15014</xdr:colOff>
      <xdr:row>1</xdr:row>
      <xdr:rowOff>190499</xdr:rowOff>
    </xdr:from>
    <xdr:to>
      <xdr:col>26</xdr:col>
      <xdr:colOff>201704</xdr:colOff>
      <xdr:row>18</xdr:row>
      <xdr:rowOff>47624</xdr:rowOff>
    </xdr:to>
    <xdr:grpSp>
      <xdr:nvGrpSpPr>
        <xdr:cNvPr id="29" name="Group 28">
          <a:extLst>
            <a:ext uri="{FF2B5EF4-FFF2-40B4-BE49-F238E27FC236}">
              <a16:creationId xmlns:a16="http://schemas.microsoft.com/office/drawing/2014/main" id="{22AF5575-7582-4A96-8A19-A227C63E76BD}"/>
            </a:ext>
          </a:extLst>
        </xdr:cNvPr>
        <xdr:cNvGrpSpPr>
          <a:grpSpLocks noChangeAspect="1"/>
        </xdr:cNvGrpSpPr>
      </xdr:nvGrpSpPr>
      <xdr:grpSpPr>
        <a:xfrm>
          <a:off x="13921514" y="609599"/>
          <a:ext cx="5120640" cy="4114800"/>
          <a:chOff x="14016765" y="187095"/>
          <a:chExt cx="5188729" cy="4188109"/>
        </a:xfrm>
      </xdr:grpSpPr>
      <xdr:grpSp>
        <xdr:nvGrpSpPr>
          <xdr:cNvPr id="37" name="Group 36">
            <a:extLst>
              <a:ext uri="{FF2B5EF4-FFF2-40B4-BE49-F238E27FC236}">
                <a16:creationId xmlns:a16="http://schemas.microsoft.com/office/drawing/2014/main" id="{4BB83078-0805-44C3-85E4-377B995BC5CA}"/>
              </a:ext>
            </a:extLst>
          </xdr:cNvPr>
          <xdr:cNvGrpSpPr/>
        </xdr:nvGrpSpPr>
        <xdr:grpSpPr>
          <a:xfrm>
            <a:off x="14016765" y="187095"/>
            <a:ext cx="5188729" cy="4188109"/>
            <a:chOff x="14016765" y="187095"/>
            <a:chExt cx="5188729" cy="4188109"/>
          </a:xfrm>
        </xdr:grpSpPr>
        <xdr:graphicFrame macro="">
          <xdr:nvGraphicFramePr>
            <xdr:cNvPr id="12" name="Chart 11">
              <a:extLst>
                <a:ext uri="{FF2B5EF4-FFF2-40B4-BE49-F238E27FC236}">
                  <a16:creationId xmlns:a16="http://schemas.microsoft.com/office/drawing/2014/main" id="{1AEE930B-A353-4352-A879-E0B3BE30CDA0}"/>
                </a:ext>
              </a:extLst>
            </xdr:cNvPr>
            <xdr:cNvGraphicFramePr>
              <a:graphicFrameLocks/>
            </xdr:cNvGraphicFramePr>
          </xdr:nvGraphicFramePr>
          <xdr:xfrm>
            <a:off x="14016765" y="187095"/>
            <a:ext cx="5188729" cy="4188109"/>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6" name="TextBox 15">
              <a:extLst>
                <a:ext uri="{FF2B5EF4-FFF2-40B4-BE49-F238E27FC236}">
                  <a16:creationId xmlns:a16="http://schemas.microsoft.com/office/drawing/2014/main" id="{05E82C5B-A6BF-4318-A804-B2A774DD0258}"/>
                </a:ext>
              </a:extLst>
            </xdr:cNvPr>
            <xdr:cNvSpPr txBox="1"/>
          </xdr:nvSpPr>
          <xdr:spPr>
            <a:xfrm>
              <a:off x="14761114" y="2250986"/>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183</a:t>
              </a:r>
            </a:p>
          </xdr:txBody>
        </xdr:sp>
        <xdr:sp macro="" textlink="">
          <xdr:nvSpPr>
            <xdr:cNvPr id="17" name="TextBox 16">
              <a:extLst>
                <a:ext uri="{FF2B5EF4-FFF2-40B4-BE49-F238E27FC236}">
                  <a16:creationId xmlns:a16="http://schemas.microsoft.com/office/drawing/2014/main" id="{A892CDFA-63D8-423A-96C3-E66EE3E6852B}"/>
                </a:ext>
              </a:extLst>
            </xdr:cNvPr>
            <xdr:cNvSpPr txBox="1"/>
          </xdr:nvSpPr>
          <xdr:spPr>
            <a:xfrm>
              <a:off x="14764427" y="1957405"/>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187</a:t>
              </a:r>
            </a:p>
          </xdr:txBody>
        </xdr:sp>
        <xdr:sp macro="" textlink="">
          <xdr:nvSpPr>
            <xdr:cNvPr id="18" name="TextBox 17">
              <a:extLst>
                <a:ext uri="{FF2B5EF4-FFF2-40B4-BE49-F238E27FC236}">
                  <a16:creationId xmlns:a16="http://schemas.microsoft.com/office/drawing/2014/main" id="{F139690D-4AE7-4D5F-B295-DE7799FE32B1}"/>
                </a:ext>
              </a:extLst>
            </xdr:cNvPr>
            <xdr:cNvSpPr txBox="1"/>
          </xdr:nvSpPr>
          <xdr:spPr>
            <a:xfrm>
              <a:off x="14764427" y="1506007"/>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206</a:t>
              </a:r>
            </a:p>
          </xdr:txBody>
        </xdr:sp>
      </xdr:grpSp>
      <xdr:sp macro="" textlink="">
        <xdr:nvSpPr>
          <xdr:cNvPr id="23" name="TextBox 22">
            <a:extLst>
              <a:ext uri="{FF2B5EF4-FFF2-40B4-BE49-F238E27FC236}">
                <a16:creationId xmlns:a16="http://schemas.microsoft.com/office/drawing/2014/main" id="{1310EBFD-E103-48CC-A214-139360B78E83}"/>
              </a:ext>
            </a:extLst>
          </xdr:cNvPr>
          <xdr:cNvSpPr txBox="1"/>
        </xdr:nvSpPr>
        <xdr:spPr>
          <a:xfrm>
            <a:off x="18654865" y="3694179"/>
            <a:ext cx="450651" cy="25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wsDr>
</file>

<file path=xl/drawings/drawing12.xml><?xml version="1.0" encoding="utf-8"?>
<c:userShapes xmlns:c="http://schemas.openxmlformats.org/drawingml/2006/chart">
  <cdr:relSizeAnchor xmlns:cdr="http://schemas.openxmlformats.org/drawingml/2006/chartDrawing">
    <cdr:from>
      <cdr:x>0.14432</cdr:x>
      <cdr:y>0.32636</cdr:y>
    </cdr:from>
    <cdr:to>
      <cdr:x>0.21847</cdr:x>
      <cdr:y>0.38683</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39021" y="1313064"/>
          <a:ext cx="379695" cy="24329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207</a:t>
          </a:r>
        </a:p>
      </cdr:txBody>
    </cdr:sp>
  </cdr:relSizeAnchor>
  <cdr:relSizeAnchor xmlns:cdr="http://schemas.openxmlformats.org/drawingml/2006/chartDrawing">
    <cdr:from>
      <cdr:x>0.14439</cdr:x>
      <cdr:y>0.39104</cdr:y>
    </cdr:from>
    <cdr:to>
      <cdr:x>0.21854</cdr:x>
      <cdr:y>0.45152</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39386" y="1573312"/>
          <a:ext cx="379695" cy="24333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203</a:t>
          </a:r>
        </a:p>
      </cdr:txBody>
    </cdr:sp>
  </cdr:relSizeAnchor>
</c:userShapes>
</file>

<file path=xl/drawings/drawing13.xml><?xml version="1.0" encoding="utf-8"?>
<c:userShapes xmlns:c="http://schemas.openxmlformats.org/drawingml/2006/chart">
  <cdr:relSizeAnchor xmlns:cdr="http://schemas.openxmlformats.org/drawingml/2006/chartDrawing">
    <cdr:from>
      <cdr:x>0.14094</cdr:x>
      <cdr:y>0.49342</cdr:y>
    </cdr:from>
    <cdr:to>
      <cdr:x>0.21509</cdr:x>
      <cdr:y>0.5539</cdr:y>
    </cdr:to>
    <cdr:sp macro="" textlink="">
      <cdr:nvSpPr>
        <cdr:cNvPr id="2" name="TextBox 66">
          <a:extLst xmlns:a="http://schemas.openxmlformats.org/drawingml/2006/main">
            <a:ext uri="{FF2B5EF4-FFF2-40B4-BE49-F238E27FC236}">
              <a16:creationId xmlns:a16="http://schemas.microsoft.com/office/drawing/2014/main" id="{0BB1D1AC-6606-49BA-AF19-F2EC99856531}"/>
            </a:ext>
          </a:extLst>
        </cdr:cNvPr>
        <cdr:cNvSpPr txBox="1"/>
      </cdr:nvSpPr>
      <cdr:spPr>
        <a:xfrm xmlns:a="http://schemas.openxmlformats.org/drawingml/2006/main">
          <a:off x="721691" y="2030343"/>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186</a:t>
          </a:r>
        </a:p>
      </cdr:txBody>
    </cdr:sp>
  </cdr:relSizeAnchor>
</c:userShapes>
</file>

<file path=xl/drawings/drawing14.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0.13123</cdr:x>
      <cdr:y>0.65438</cdr:y>
    </cdr:from>
    <cdr:to>
      <cdr:x>0.20539</cdr:x>
      <cdr:y>0.71523</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671996" y="2676387"/>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150</a:t>
          </a:r>
        </a:p>
      </cdr:txBody>
    </cdr:sp>
  </cdr:relSizeAnchor>
</c:userShapes>
</file>

<file path=xl/drawings/drawing15.xml><?xml version="1.0" encoding="utf-8"?>
<xdr:wsDr xmlns:xdr="http://schemas.openxmlformats.org/drawingml/2006/spreadsheetDrawing" xmlns:a="http://schemas.openxmlformats.org/drawingml/2006/main">
  <xdr:twoCellAnchor>
    <xdr:from>
      <xdr:col>7</xdr:col>
      <xdr:colOff>82825</xdr:colOff>
      <xdr:row>7</xdr:row>
      <xdr:rowOff>281608</xdr:rowOff>
    </xdr:from>
    <xdr:to>
      <xdr:col>13</xdr:col>
      <xdr:colOff>396320</xdr:colOff>
      <xdr:row>7</xdr:row>
      <xdr:rowOff>310183</xdr:rowOff>
    </xdr:to>
    <xdr:cxnSp macro="">
      <xdr:nvCxnSpPr>
        <xdr:cNvPr id="16" name="Straight Connector 15">
          <a:extLst>
            <a:ext uri="{FF2B5EF4-FFF2-40B4-BE49-F238E27FC236}">
              <a16:creationId xmlns:a16="http://schemas.microsoft.com/office/drawing/2014/main" id="{3D8279EE-777C-41B3-94C7-F6B0B58CCB6D}"/>
            </a:ext>
          </a:extLst>
        </xdr:cNvPr>
        <xdr:cNvCxnSpPr/>
      </xdr:nvCxnSpPr>
      <xdr:spPr>
        <a:xfrm flipH="1" flipV="1">
          <a:off x="7740925" y="1738933"/>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94835</xdr:colOff>
      <xdr:row>8</xdr:row>
      <xdr:rowOff>291962</xdr:rowOff>
    </xdr:from>
    <xdr:to>
      <xdr:col>13</xdr:col>
      <xdr:colOff>408330</xdr:colOff>
      <xdr:row>8</xdr:row>
      <xdr:rowOff>320537</xdr:rowOff>
    </xdr:to>
    <xdr:cxnSp macro="">
      <xdr:nvCxnSpPr>
        <xdr:cNvPr id="17" name="Straight Connector 16">
          <a:extLst>
            <a:ext uri="{FF2B5EF4-FFF2-40B4-BE49-F238E27FC236}">
              <a16:creationId xmlns:a16="http://schemas.microsoft.com/office/drawing/2014/main" id="{F78C37C8-BF6A-4433-B84A-1BDF9148905F}"/>
            </a:ext>
          </a:extLst>
        </xdr:cNvPr>
        <xdr:cNvCxnSpPr/>
      </xdr:nvCxnSpPr>
      <xdr:spPr>
        <a:xfrm flipH="1" flipV="1">
          <a:off x="7752935" y="2206487"/>
          <a:ext cx="4542595" cy="28575"/>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7</xdr:col>
      <xdr:colOff>29894</xdr:colOff>
      <xdr:row>1</xdr:row>
      <xdr:rowOff>190499</xdr:rowOff>
    </xdr:from>
    <xdr:to>
      <xdr:col>14</xdr:col>
      <xdr:colOff>216584</xdr:colOff>
      <xdr:row>20</xdr:row>
      <xdr:rowOff>104774</xdr:rowOff>
    </xdr:to>
    <xdr:grpSp>
      <xdr:nvGrpSpPr>
        <xdr:cNvPr id="2" name="Group 1">
          <a:extLst>
            <a:ext uri="{FF2B5EF4-FFF2-40B4-BE49-F238E27FC236}">
              <a16:creationId xmlns:a16="http://schemas.microsoft.com/office/drawing/2014/main" id="{ACFD3C7E-B608-404E-9FE6-C8759C42EBD5}"/>
            </a:ext>
          </a:extLst>
        </xdr:cNvPr>
        <xdr:cNvGrpSpPr>
          <a:grpSpLocks noChangeAspect="1"/>
        </xdr:cNvGrpSpPr>
      </xdr:nvGrpSpPr>
      <xdr:grpSpPr>
        <a:xfrm>
          <a:off x="5230544" y="609599"/>
          <a:ext cx="5120640" cy="4114800"/>
          <a:chOff x="4896304" y="123826"/>
          <a:chExt cx="5096395" cy="4117398"/>
        </a:xfrm>
      </xdr:grpSpPr>
      <xdr:graphicFrame macro="">
        <xdr:nvGraphicFramePr>
          <xdr:cNvPr id="18" name="Chart 17">
            <a:extLst>
              <a:ext uri="{FF2B5EF4-FFF2-40B4-BE49-F238E27FC236}">
                <a16:creationId xmlns:a16="http://schemas.microsoft.com/office/drawing/2014/main" id="{831E5897-B8D9-41F2-B924-A6392D89EBBE}"/>
              </a:ext>
            </a:extLst>
          </xdr:cNvPr>
          <xdr:cNvGraphicFramePr>
            <a:graphicFrameLocks noChangeAspect="1"/>
          </xdr:cNvGraphicFramePr>
        </xdr:nvGraphicFramePr>
        <xdr:xfrm>
          <a:off x="4896304" y="123826"/>
          <a:ext cx="5096395" cy="411739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1" name="TextBox 20">
            <a:extLst>
              <a:ext uri="{FF2B5EF4-FFF2-40B4-BE49-F238E27FC236}">
                <a16:creationId xmlns:a16="http://schemas.microsoft.com/office/drawing/2014/main" id="{548C1ADC-3008-4B5F-A887-7001377F562E}"/>
              </a:ext>
            </a:extLst>
          </xdr:cNvPr>
          <xdr:cNvSpPr txBox="1"/>
        </xdr:nvSpPr>
        <xdr:spPr>
          <a:xfrm>
            <a:off x="9333325" y="3585307"/>
            <a:ext cx="442631" cy="249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15</xdr:col>
      <xdr:colOff>10569</xdr:colOff>
      <xdr:row>2</xdr:row>
      <xdr:rowOff>0</xdr:rowOff>
    </xdr:from>
    <xdr:to>
      <xdr:col>22</xdr:col>
      <xdr:colOff>483009</xdr:colOff>
      <xdr:row>20</xdr:row>
      <xdr:rowOff>104775</xdr:rowOff>
    </xdr:to>
    <xdr:graphicFrame macro="">
      <xdr:nvGraphicFramePr>
        <xdr:cNvPr id="32" name="Chart 31">
          <a:extLst>
            <a:ext uri="{FF2B5EF4-FFF2-40B4-BE49-F238E27FC236}">
              <a16:creationId xmlns:a16="http://schemas.microsoft.com/office/drawing/2014/main" id="{C7119FAA-822B-4E0F-AFCF-48A34079811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0.13665</cdr:x>
      <cdr:y>0.37274</cdr:y>
    </cdr:from>
    <cdr:to>
      <cdr:x>0.2108</cdr:x>
      <cdr:y>0.43321</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699722" y="1531015"/>
          <a:ext cx="379695" cy="24837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207</a:t>
          </a:r>
        </a:p>
      </cdr:txBody>
    </cdr:sp>
  </cdr:relSizeAnchor>
  <cdr:relSizeAnchor xmlns:cdr="http://schemas.openxmlformats.org/drawingml/2006/chartDrawing">
    <cdr:from>
      <cdr:x>0.13646</cdr:x>
      <cdr:y>0.29899</cdr:y>
    </cdr:from>
    <cdr:to>
      <cdr:x>0.21061</cdr:x>
      <cdr:y>0.35958</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698763" y="1230287"/>
          <a:ext cx="379695" cy="24931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210</a:t>
          </a:r>
        </a:p>
      </cdr:txBody>
    </cdr:sp>
  </cdr:relSizeAnchor>
</c:userShapes>
</file>

<file path=xl/drawings/drawing17.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0.13509</cdr:x>
      <cdr:y>0.4794</cdr:y>
    </cdr:from>
    <cdr:to>
      <cdr:x>0.21028</cdr:x>
      <cdr:y>0.67906</cdr:y>
    </cdr:to>
    <cdr:grpSp>
      <cdr:nvGrpSpPr>
        <cdr:cNvPr id="6" name="Group 5">
          <a:extLst xmlns:a="http://schemas.openxmlformats.org/drawingml/2006/main">
            <a:ext uri="{FF2B5EF4-FFF2-40B4-BE49-F238E27FC236}">
              <a16:creationId xmlns:a16="http://schemas.microsoft.com/office/drawing/2014/main" id="{AE7E371E-1502-4B48-A7E7-F00662C873EC}"/>
            </a:ext>
          </a:extLst>
        </cdr:cNvPr>
        <cdr:cNvGrpSpPr/>
      </cdr:nvGrpSpPr>
      <cdr:grpSpPr>
        <a:xfrm xmlns:a="http://schemas.openxmlformats.org/drawingml/2006/main">
          <a:off x="691747" y="1972635"/>
          <a:ext cx="385021" cy="821561"/>
          <a:chOff x="688004" y="1973881"/>
          <a:chExt cx="382938" cy="822079"/>
        </a:xfrm>
      </cdr:grpSpPr>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688004" y="2546981"/>
            <a:ext cx="377692" cy="24897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166</a:t>
            </a:r>
          </a:p>
        </cdr:txBody>
      </cdr:sp>
      <cdr:sp macro="" textlink="">
        <cdr:nvSpPr>
          <cdr:cNvPr id="4" name="TextBox 66">
            <a:extLst xmlns:a="http://schemas.openxmlformats.org/drawingml/2006/main">
              <a:ext uri="{FF2B5EF4-FFF2-40B4-BE49-F238E27FC236}">
                <a16:creationId xmlns:a16="http://schemas.microsoft.com/office/drawing/2014/main" id="{8A2AD95D-BDFE-43D4-B9A9-479CFD2F0F45}"/>
              </a:ext>
            </a:extLst>
          </cdr:cNvPr>
          <cdr:cNvSpPr txBox="1"/>
        </cdr:nvSpPr>
        <cdr:spPr>
          <a:xfrm xmlns:a="http://schemas.openxmlformats.org/drawingml/2006/main">
            <a:off x="693250" y="1973881"/>
            <a:ext cx="377692" cy="24902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180</a:t>
            </a:r>
          </a:p>
        </cdr:txBody>
      </cdr:sp>
    </cdr:grpSp>
  </cdr:relSizeAnchor>
  <cdr:relSizeAnchor xmlns:cdr="http://schemas.openxmlformats.org/drawingml/2006/chartDrawing">
    <cdr:from>
      <cdr:x>0.88389</cdr:x>
      <cdr:y>0.83884</cdr:y>
    </cdr:from>
    <cdr:to>
      <cdr:x>0.97121</cdr:x>
      <cdr:y>0.89928</cdr:y>
    </cdr:to>
    <cdr:sp macro="" textlink="">
      <cdr:nvSpPr>
        <cdr:cNvPr id="5" name="TextBox 20">
          <a:extLst xmlns:a="http://schemas.openxmlformats.org/drawingml/2006/main">
            <a:ext uri="{FF2B5EF4-FFF2-40B4-BE49-F238E27FC236}">
              <a16:creationId xmlns:a16="http://schemas.microsoft.com/office/drawing/2014/main" id="{548C1ADC-3008-4B5F-A887-7001377F562E}"/>
            </a:ext>
          </a:extLst>
        </cdr:cNvPr>
        <cdr:cNvSpPr txBox="1"/>
      </cdr:nvSpPr>
      <cdr:spPr>
        <a:xfrm xmlns:a="http://schemas.openxmlformats.org/drawingml/2006/main">
          <a:off x="4501573" y="3453823"/>
          <a:ext cx="444737"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5000</a:t>
          </a:r>
        </a:p>
      </cdr:txBody>
    </cdr:sp>
  </cdr:relSizeAnchor>
</c:userShapes>
</file>

<file path=xl/drawings/drawing18.xml><?xml version="1.0" encoding="utf-8"?>
<xdr:wsDr xmlns:xdr="http://schemas.openxmlformats.org/drawingml/2006/spreadsheetDrawing" xmlns:a="http://schemas.openxmlformats.org/drawingml/2006/main">
  <xdr:twoCellAnchor>
    <xdr:from>
      <xdr:col>8</xdr:col>
      <xdr:colOff>82825</xdr:colOff>
      <xdr:row>5</xdr:row>
      <xdr:rowOff>281608</xdr:rowOff>
    </xdr:from>
    <xdr:to>
      <xdr:col>14</xdr:col>
      <xdr:colOff>396320</xdr:colOff>
      <xdr:row>5</xdr:row>
      <xdr:rowOff>310183</xdr:rowOff>
    </xdr:to>
    <xdr:cxnSp macro="">
      <xdr:nvCxnSpPr>
        <xdr:cNvPr id="14" name="Straight Connector 13">
          <a:extLst>
            <a:ext uri="{FF2B5EF4-FFF2-40B4-BE49-F238E27FC236}">
              <a16:creationId xmlns:a16="http://schemas.microsoft.com/office/drawing/2014/main" id="{754FC5AC-6F61-4E91-8895-4A8CB92FD998}"/>
            </a:ext>
          </a:extLst>
        </xdr:cNvPr>
        <xdr:cNvCxnSpPr/>
      </xdr:nvCxnSpPr>
      <xdr:spPr>
        <a:xfrm flipH="1" flipV="1">
          <a:off x="7740925" y="1738933"/>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94835</xdr:colOff>
      <xdr:row>6</xdr:row>
      <xdr:rowOff>291962</xdr:rowOff>
    </xdr:from>
    <xdr:to>
      <xdr:col>14</xdr:col>
      <xdr:colOff>408330</xdr:colOff>
      <xdr:row>6</xdr:row>
      <xdr:rowOff>320537</xdr:rowOff>
    </xdr:to>
    <xdr:cxnSp macro="">
      <xdr:nvCxnSpPr>
        <xdr:cNvPr id="15" name="Straight Connector 14">
          <a:extLst>
            <a:ext uri="{FF2B5EF4-FFF2-40B4-BE49-F238E27FC236}">
              <a16:creationId xmlns:a16="http://schemas.microsoft.com/office/drawing/2014/main" id="{5E17715D-DED6-4F66-BAE4-2087D3FD93A5}"/>
            </a:ext>
          </a:extLst>
        </xdr:cNvPr>
        <xdr:cNvCxnSpPr/>
      </xdr:nvCxnSpPr>
      <xdr:spPr>
        <a:xfrm flipH="1" flipV="1">
          <a:off x="7752935" y="2206487"/>
          <a:ext cx="4542595" cy="28575"/>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8</xdr:col>
      <xdr:colOff>15239</xdr:colOff>
      <xdr:row>2</xdr:row>
      <xdr:rowOff>28575</xdr:rowOff>
    </xdr:from>
    <xdr:to>
      <xdr:col>15</xdr:col>
      <xdr:colOff>201929</xdr:colOff>
      <xdr:row>21</xdr:row>
      <xdr:rowOff>76200</xdr:rowOff>
    </xdr:to>
    <xdr:grpSp>
      <xdr:nvGrpSpPr>
        <xdr:cNvPr id="5" name="Group 4">
          <a:extLst>
            <a:ext uri="{FF2B5EF4-FFF2-40B4-BE49-F238E27FC236}">
              <a16:creationId xmlns:a16="http://schemas.microsoft.com/office/drawing/2014/main" id="{025E3A8E-2DF8-4594-8A90-BBF637C059F6}"/>
            </a:ext>
          </a:extLst>
        </xdr:cNvPr>
        <xdr:cNvGrpSpPr>
          <a:grpSpLocks noChangeAspect="1"/>
        </xdr:cNvGrpSpPr>
      </xdr:nvGrpSpPr>
      <xdr:grpSpPr>
        <a:xfrm>
          <a:off x="6073139" y="638175"/>
          <a:ext cx="5120640" cy="4124325"/>
          <a:chOff x="5539739" y="219075"/>
          <a:chExt cx="5106652" cy="4103477"/>
        </a:xfrm>
      </xdr:grpSpPr>
      <xdr:graphicFrame macro="">
        <xdr:nvGraphicFramePr>
          <xdr:cNvPr id="17" name="Chart 16">
            <a:extLst>
              <a:ext uri="{FF2B5EF4-FFF2-40B4-BE49-F238E27FC236}">
                <a16:creationId xmlns:a16="http://schemas.microsoft.com/office/drawing/2014/main" id="{A34BA098-0786-47DC-82F5-A2FC37967FAC}"/>
              </a:ext>
            </a:extLst>
          </xdr:cNvPr>
          <xdr:cNvGraphicFramePr>
            <a:graphicFrameLocks noChangeAspect="1"/>
          </xdr:cNvGraphicFramePr>
        </xdr:nvGraphicFramePr>
        <xdr:xfrm>
          <a:off x="5539739" y="219075"/>
          <a:ext cx="5106652" cy="410347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0" name="TextBox 19">
            <a:extLst>
              <a:ext uri="{FF2B5EF4-FFF2-40B4-BE49-F238E27FC236}">
                <a16:creationId xmlns:a16="http://schemas.microsoft.com/office/drawing/2014/main" id="{CE30C1DD-17CC-4ECC-BAAE-AB8E4BAFB75C}"/>
              </a:ext>
            </a:extLst>
          </xdr:cNvPr>
          <xdr:cNvSpPr txBox="1"/>
        </xdr:nvSpPr>
        <xdr:spPr>
          <a:xfrm>
            <a:off x="10058224" y="3673096"/>
            <a:ext cx="443522" cy="248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xdr:from>
      <xdr:col>16</xdr:col>
      <xdr:colOff>106083</xdr:colOff>
      <xdr:row>28</xdr:row>
      <xdr:rowOff>320883</xdr:rowOff>
    </xdr:from>
    <xdr:to>
      <xdr:col>22</xdr:col>
      <xdr:colOff>365605</xdr:colOff>
      <xdr:row>28</xdr:row>
      <xdr:rowOff>338346</xdr:rowOff>
    </xdr:to>
    <xdr:cxnSp macro="">
      <xdr:nvCxnSpPr>
        <xdr:cNvPr id="21" name="Straight Connector 20">
          <a:extLst>
            <a:ext uri="{FF2B5EF4-FFF2-40B4-BE49-F238E27FC236}">
              <a16:creationId xmlns:a16="http://schemas.microsoft.com/office/drawing/2014/main" id="{5B9BA94A-47D9-4379-866D-E256B8FC77DF}"/>
            </a:ext>
          </a:extLst>
        </xdr:cNvPr>
        <xdr:cNvCxnSpPr/>
      </xdr:nvCxnSpPr>
      <xdr:spPr>
        <a:xfrm flipH="1" flipV="1">
          <a:off x="13402983" y="7236033"/>
          <a:ext cx="4488622" cy="0"/>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16</xdr:col>
      <xdr:colOff>23890</xdr:colOff>
      <xdr:row>22</xdr:row>
      <xdr:rowOff>26089</xdr:rowOff>
    </xdr:from>
    <xdr:to>
      <xdr:col>23</xdr:col>
      <xdr:colOff>496330</xdr:colOff>
      <xdr:row>43</xdr:row>
      <xdr:rowOff>92764</xdr:rowOff>
    </xdr:to>
    <xdr:grpSp>
      <xdr:nvGrpSpPr>
        <xdr:cNvPr id="3" name="Group 2">
          <a:extLst>
            <a:ext uri="{FF2B5EF4-FFF2-40B4-BE49-F238E27FC236}">
              <a16:creationId xmlns:a16="http://schemas.microsoft.com/office/drawing/2014/main" id="{C16AF812-8EA2-45D1-8EDB-C4561D5BCF70}"/>
            </a:ext>
          </a:extLst>
        </xdr:cNvPr>
        <xdr:cNvGrpSpPr>
          <a:grpSpLocks noChangeAspect="1"/>
        </xdr:cNvGrpSpPr>
      </xdr:nvGrpSpPr>
      <xdr:grpSpPr>
        <a:xfrm>
          <a:off x="11720590" y="4940989"/>
          <a:ext cx="5120640" cy="4114800"/>
          <a:chOff x="11159482" y="4562587"/>
          <a:chExt cx="5096394" cy="4114800"/>
        </a:xfrm>
      </xdr:grpSpPr>
      <xdr:graphicFrame macro="">
        <xdr:nvGraphicFramePr>
          <xdr:cNvPr id="22" name="Chart 21">
            <a:extLst>
              <a:ext uri="{FF2B5EF4-FFF2-40B4-BE49-F238E27FC236}">
                <a16:creationId xmlns:a16="http://schemas.microsoft.com/office/drawing/2014/main" id="{01145C33-9DC0-4362-B3C4-530403B784DC}"/>
              </a:ext>
            </a:extLst>
          </xdr:cNvPr>
          <xdr:cNvGraphicFramePr>
            <a:graphicFrameLocks noChangeAspect="1"/>
          </xdr:cNvGraphicFramePr>
        </xdr:nvGraphicFramePr>
        <xdr:xfrm>
          <a:off x="11159482" y="4562587"/>
          <a:ext cx="5096394" cy="4114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4" name="TextBox 33">
            <a:extLst>
              <a:ext uri="{FF2B5EF4-FFF2-40B4-BE49-F238E27FC236}">
                <a16:creationId xmlns:a16="http://schemas.microsoft.com/office/drawing/2014/main" id="{B285B8CD-81DF-4F8D-9DFB-C2BC9883222C}"/>
              </a:ext>
            </a:extLst>
          </xdr:cNvPr>
          <xdr:cNvSpPr txBox="1"/>
        </xdr:nvSpPr>
        <xdr:spPr>
          <a:xfrm>
            <a:off x="15680979" y="8003820"/>
            <a:ext cx="4426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16</xdr:col>
      <xdr:colOff>23521</xdr:colOff>
      <xdr:row>2</xdr:row>
      <xdr:rowOff>28575</xdr:rowOff>
    </xdr:from>
    <xdr:to>
      <xdr:col>24</xdr:col>
      <xdr:colOff>19050</xdr:colOff>
      <xdr:row>21</xdr:row>
      <xdr:rowOff>76200</xdr:rowOff>
    </xdr:to>
    <xdr:grpSp>
      <xdr:nvGrpSpPr>
        <xdr:cNvPr id="6" name="Group 5">
          <a:extLst>
            <a:ext uri="{FF2B5EF4-FFF2-40B4-BE49-F238E27FC236}">
              <a16:creationId xmlns:a16="http://schemas.microsoft.com/office/drawing/2014/main" id="{F3E8F3AE-AF7B-4DD5-B022-5B50E3CC2ABA}"/>
            </a:ext>
          </a:extLst>
        </xdr:cNvPr>
        <xdr:cNvGrpSpPr>
          <a:grpSpLocks noChangeAspect="1"/>
        </xdr:cNvGrpSpPr>
      </xdr:nvGrpSpPr>
      <xdr:grpSpPr>
        <a:xfrm>
          <a:off x="11720221" y="638175"/>
          <a:ext cx="5253329" cy="4124325"/>
          <a:chOff x="11159112" y="219075"/>
          <a:chExt cx="5106651" cy="4103477"/>
        </a:xfrm>
      </xdr:grpSpPr>
      <xdr:grpSp>
        <xdr:nvGrpSpPr>
          <xdr:cNvPr id="9" name="Group 8">
            <a:extLst>
              <a:ext uri="{FF2B5EF4-FFF2-40B4-BE49-F238E27FC236}">
                <a16:creationId xmlns:a16="http://schemas.microsoft.com/office/drawing/2014/main" id="{C47C1BE7-813B-49C0-8A24-864356122151}"/>
              </a:ext>
            </a:extLst>
          </xdr:cNvPr>
          <xdr:cNvGrpSpPr/>
        </xdr:nvGrpSpPr>
        <xdr:grpSpPr>
          <a:xfrm>
            <a:off x="11159112" y="219075"/>
            <a:ext cx="5106651" cy="4103477"/>
            <a:chOff x="11159112" y="219075"/>
            <a:chExt cx="5106651" cy="4103477"/>
          </a:xfrm>
        </xdr:grpSpPr>
        <xdr:graphicFrame macro="">
          <xdr:nvGraphicFramePr>
            <xdr:cNvPr id="24" name="Chart 23">
              <a:extLst>
                <a:ext uri="{FF2B5EF4-FFF2-40B4-BE49-F238E27FC236}">
                  <a16:creationId xmlns:a16="http://schemas.microsoft.com/office/drawing/2014/main" id="{9D5D992E-AB4A-4163-916A-941CFC88EA80}"/>
                </a:ext>
              </a:extLst>
            </xdr:cNvPr>
            <xdr:cNvGraphicFramePr>
              <a:graphicFrameLocks noChangeAspect="1"/>
            </xdr:cNvGraphicFramePr>
          </xdr:nvGraphicFramePr>
          <xdr:xfrm>
            <a:off x="11159112" y="219075"/>
            <a:ext cx="5106651" cy="410347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8" name="TextBox 27">
              <a:extLst>
                <a:ext uri="{FF2B5EF4-FFF2-40B4-BE49-F238E27FC236}">
                  <a16:creationId xmlns:a16="http://schemas.microsoft.com/office/drawing/2014/main" id="{4C649050-AADE-401F-A33E-FB9B44DFD6FE}"/>
                </a:ext>
              </a:extLst>
            </xdr:cNvPr>
            <xdr:cNvSpPr txBox="1"/>
          </xdr:nvSpPr>
          <xdr:spPr>
            <a:xfrm>
              <a:off x="11838338" y="2671287"/>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168</a:t>
              </a:r>
            </a:p>
          </xdr:txBody>
        </xdr:sp>
        <xdr:sp macro="" textlink="">
          <xdr:nvSpPr>
            <xdr:cNvPr id="30" name="TextBox 29">
              <a:extLst>
                <a:ext uri="{FF2B5EF4-FFF2-40B4-BE49-F238E27FC236}">
                  <a16:creationId xmlns:a16="http://schemas.microsoft.com/office/drawing/2014/main" id="{3BD083D7-3965-4709-ACB1-EEA2B2A26121}"/>
                </a:ext>
              </a:extLst>
            </xdr:cNvPr>
            <xdr:cNvSpPr txBox="1"/>
          </xdr:nvSpPr>
          <xdr:spPr>
            <a:xfrm>
              <a:off x="11861633" y="1387909"/>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213</a:t>
              </a:r>
            </a:p>
          </xdr:txBody>
        </xdr:sp>
      </xdr:grpSp>
      <xdr:sp macro="" textlink="">
        <xdr:nvSpPr>
          <xdr:cNvPr id="35" name="TextBox 34">
            <a:extLst>
              <a:ext uri="{FF2B5EF4-FFF2-40B4-BE49-F238E27FC236}">
                <a16:creationId xmlns:a16="http://schemas.microsoft.com/office/drawing/2014/main" id="{8014E2C6-4628-4515-BB23-89EF56C79507}"/>
              </a:ext>
            </a:extLst>
          </xdr:cNvPr>
          <xdr:cNvSpPr txBox="1"/>
        </xdr:nvSpPr>
        <xdr:spPr>
          <a:xfrm>
            <a:off x="15693373" y="3657583"/>
            <a:ext cx="443522" cy="248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0.13808</cdr:x>
      <cdr:y>0.29965</cdr:y>
    </cdr:from>
    <cdr:to>
      <cdr:x>0.21223</cdr:x>
      <cdr:y>0.36013</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07049" y="1233002"/>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219</a:t>
          </a:r>
        </a:p>
      </cdr:txBody>
    </cdr:sp>
  </cdr:relSizeAnchor>
  <cdr:relSizeAnchor xmlns:cdr="http://schemas.openxmlformats.org/drawingml/2006/chartDrawing">
    <cdr:from>
      <cdr:x>0.14075</cdr:x>
      <cdr:y>0.50782</cdr:y>
    </cdr:from>
    <cdr:to>
      <cdr:x>0.21491</cdr:x>
      <cdr:y>0.5683</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20735" y="2089589"/>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183</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5</xdr:col>
      <xdr:colOff>95250</xdr:colOff>
      <xdr:row>2</xdr:row>
      <xdr:rowOff>95250</xdr:rowOff>
    </xdr:from>
    <xdr:to>
      <xdr:col>12</xdr:col>
      <xdr:colOff>247650</xdr:colOff>
      <xdr:row>14</xdr:row>
      <xdr:rowOff>38100</xdr:rowOff>
    </xdr:to>
    <xdr:pic>
      <xdr:nvPicPr>
        <xdr:cNvPr id="6" name="Picture 5">
          <a:extLst>
            <a:ext uri="{FF2B5EF4-FFF2-40B4-BE49-F238E27FC236}">
              <a16:creationId xmlns:a16="http://schemas.microsoft.com/office/drawing/2014/main" id="{35BEC3EB-7D38-49F2-8ED2-4810AAB82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1266825"/>
          <a:ext cx="4905375" cy="2990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0.14268</cdr:x>
      <cdr:y>0.64548</cdr:y>
    </cdr:from>
    <cdr:to>
      <cdr:x>0.21683</cdr:x>
      <cdr:y>0.70595</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730597" y="2656008"/>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160</a:t>
          </a:r>
        </a:p>
      </cdr:txBody>
    </cdr:sp>
  </cdr:relSizeAnchor>
</c:userShapes>
</file>

<file path=xl/drawings/drawing21.xml><?xml version="1.0" encoding="utf-8"?>
<xdr:wsDr xmlns:xdr="http://schemas.openxmlformats.org/drawingml/2006/spreadsheetDrawing" xmlns:a="http://schemas.openxmlformats.org/drawingml/2006/main">
  <xdr:twoCellAnchor>
    <xdr:from>
      <xdr:col>7</xdr:col>
      <xdr:colOff>82825</xdr:colOff>
      <xdr:row>5</xdr:row>
      <xdr:rowOff>281608</xdr:rowOff>
    </xdr:from>
    <xdr:to>
      <xdr:col>13</xdr:col>
      <xdr:colOff>396320</xdr:colOff>
      <xdr:row>5</xdr:row>
      <xdr:rowOff>310183</xdr:rowOff>
    </xdr:to>
    <xdr:cxnSp macro="">
      <xdr:nvCxnSpPr>
        <xdr:cNvPr id="2" name="Straight Connector 1">
          <a:extLst>
            <a:ext uri="{FF2B5EF4-FFF2-40B4-BE49-F238E27FC236}">
              <a16:creationId xmlns:a16="http://schemas.microsoft.com/office/drawing/2014/main" id="{38E37D41-2842-4056-B337-CD25DEB412B0}"/>
            </a:ext>
          </a:extLst>
        </xdr:cNvPr>
        <xdr:cNvCxnSpPr/>
      </xdr:nvCxnSpPr>
      <xdr:spPr>
        <a:xfrm flipH="1" flipV="1">
          <a:off x="6235975" y="1157908"/>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94835</xdr:colOff>
      <xdr:row>6</xdr:row>
      <xdr:rowOff>291962</xdr:rowOff>
    </xdr:from>
    <xdr:to>
      <xdr:col>13</xdr:col>
      <xdr:colOff>408330</xdr:colOff>
      <xdr:row>6</xdr:row>
      <xdr:rowOff>320537</xdr:rowOff>
    </xdr:to>
    <xdr:cxnSp macro="">
      <xdr:nvCxnSpPr>
        <xdr:cNvPr id="3" name="Straight Connector 2">
          <a:extLst>
            <a:ext uri="{FF2B5EF4-FFF2-40B4-BE49-F238E27FC236}">
              <a16:creationId xmlns:a16="http://schemas.microsoft.com/office/drawing/2014/main" id="{726C86F3-BEB5-4789-AE9C-1E7157B0656B}"/>
            </a:ext>
          </a:extLst>
        </xdr:cNvPr>
        <xdr:cNvCxnSpPr/>
      </xdr:nvCxnSpPr>
      <xdr:spPr>
        <a:xfrm flipH="1" flipV="1">
          <a:off x="6247985" y="1387337"/>
          <a:ext cx="4542595" cy="0"/>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7</xdr:col>
      <xdr:colOff>15239</xdr:colOff>
      <xdr:row>2</xdr:row>
      <xdr:rowOff>0</xdr:rowOff>
    </xdr:from>
    <xdr:to>
      <xdr:col>14</xdr:col>
      <xdr:colOff>201929</xdr:colOff>
      <xdr:row>19</xdr:row>
      <xdr:rowOff>123825</xdr:rowOff>
    </xdr:to>
    <xdr:grpSp>
      <xdr:nvGrpSpPr>
        <xdr:cNvPr id="25" name="Group 24">
          <a:extLst>
            <a:ext uri="{FF2B5EF4-FFF2-40B4-BE49-F238E27FC236}">
              <a16:creationId xmlns:a16="http://schemas.microsoft.com/office/drawing/2014/main" id="{EDB0BAEB-6338-4ED5-BFDA-796DE5260B3C}"/>
            </a:ext>
          </a:extLst>
        </xdr:cNvPr>
        <xdr:cNvGrpSpPr>
          <a:grpSpLocks noChangeAspect="1"/>
        </xdr:cNvGrpSpPr>
      </xdr:nvGrpSpPr>
      <xdr:grpSpPr>
        <a:xfrm>
          <a:off x="5673089" y="609600"/>
          <a:ext cx="5120640" cy="3790950"/>
          <a:chOff x="5427171" y="219075"/>
          <a:chExt cx="5096394" cy="4103477"/>
        </a:xfrm>
      </xdr:grpSpPr>
      <xdr:graphicFrame macro="">
        <xdr:nvGraphicFramePr>
          <xdr:cNvPr id="4" name="Chart 3">
            <a:extLst>
              <a:ext uri="{FF2B5EF4-FFF2-40B4-BE49-F238E27FC236}">
                <a16:creationId xmlns:a16="http://schemas.microsoft.com/office/drawing/2014/main" id="{C8C7BF3E-218A-4A2D-9E95-2BD728B8BFBC}"/>
              </a:ext>
            </a:extLst>
          </xdr:cNvPr>
          <xdr:cNvGraphicFramePr>
            <a:graphicFrameLocks noChangeAspect="1"/>
          </xdr:cNvGraphicFramePr>
        </xdr:nvGraphicFramePr>
        <xdr:xfrm>
          <a:off x="5427171" y="219075"/>
          <a:ext cx="5096394" cy="410347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6">
            <a:extLst>
              <a:ext uri="{FF2B5EF4-FFF2-40B4-BE49-F238E27FC236}">
                <a16:creationId xmlns:a16="http://schemas.microsoft.com/office/drawing/2014/main" id="{15C18B0F-0F3A-427F-B3C7-36D98C63EE63}"/>
              </a:ext>
            </a:extLst>
          </xdr:cNvPr>
          <xdr:cNvSpPr txBox="1"/>
        </xdr:nvSpPr>
        <xdr:spPr>
          <a:xfrm>
            <a:off x="9955912" y="3669553"/>
            <a:ext cx="442631" cy="269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xdr:from>
      <xdr:col>15</xdr:col>
      <xdr:colOff>106083</xdr:colOff>
      <xdr:row>28</xdr:row>
      <xdr:rowOff>320883</xdr:rowOff>
    </xdr:from>
    <xdr:to>
      <xdr:col>21</xdr:col>
      <xdr:colOff>365605</xdr:colOff>
      <xdr:row>28</xdr:row>
      <xdr:rowOff>338346</xdr:rowOff>
    </xdr:to>
    <xdr:cxnSp macro="">
      <xdr:nvCxnSpPr>
        <xdr:cNvPr id="8" name="Straight Connector 7">
          <a:extLst>
            <a:ext uri="{FF2B5EF4-FFF2-40B4-BE49-F238E27FC236}">
              <a16:creationId xmlns:a16="http://schemas.microsoft.com/office/drawing/2014/main" id="{F53572EC-85B8-42C6-961A-DF85606245C6}"/>
            </a:ext>
          </a:extLst>
        </xdr:cNvPr>
        <xdr:cNvCxnSpPr/>
      </xdr:nvCxnSpPr>
      <xdr:spPr>
        <a:xfrm flipH="1" flipV="1">
          <a:off x="11898033" y="5692983"/>
          <a:ext cx="4298122" cy="0"/>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15</xdr:col>
      <xdr:colOff>23891</xdr:colOff>
      <xdr:row>20</xdr:row>
      <xdr:rowOff>188014</xdr:rowOff>
    </xdr:from>
    <xdr:to>
      <xdr:col>22</xdr:col>
      <xdr:colOff>401081</xdr:colOff>
      <xdr:row>42</xdr:row>
      <xdr:rowOff>26089</xdr:rowOff>
    </xdr:to>
    <xdr:grpSp>
      <xdr:nvGrpSpPr>
        <xdr:cNvPr id="24" name="Group 23">
          <a:extLst>
            <a:ext uri="{FF2B5EF4-FFF2-40B4-BE49-F238E27FC236}">
              <a16:creationId xmlns:a16="http://schemas.microsoft.com/office/drawing/2014/main" id="{574EEF74-7EC0-435F-A5DB-E344B31F34A6}"/>
            </a:ext>
          </a:extLst>
        </xdr:cNvPr>
        <xdr:cNvGrpSpPr>
          <a:grpSpLocks noChangeAspect="1"/>
        </xdr:cNvGrpSpPr>
      </xdr:nvGrpSpPr>
      <xdr:grpSpPr>
        <a:xfrm>
          <a:off x="11320541" y="4664764"/>
          <a:ext cx="5120640" cy="4114800"/>
          <a:chOff x="11046914" y="4562587"/>
          <a:chExt cx="5096394" cy="4114800"/>
        </a:xfrm>
      </xdr:grpSpPr>
      <xdr:graphicFrame macro="">
        <xdr:nvGraphicFramePr>
          <xdr:cNvPr id="9" name="Chart 8">
            <a:extLst>
              <a:ext uri="{FF2B5EF4-FFF2-40B4-BE49-F238E27FC236}">
                <a16:creationId xmlns:a16="http://schemas.microsoft.com/office/drawing/2014/main" id="{24A6CB91-C9C4-4623-9CD2-010108B0E165}"/>
              </a:ext>
            </a:extLst>
          </xdr:cNvPr>
          <xdr:cNvGraphicFramePr>
            <a:graphicFrameLocks noChangeAspect="1"/>
          </xdr:cNvGraphicFramePr>
        </xdr:nvGraphicFramePr>
        <xdr:xfrm>
          <a:off x="11046914" y="4562587"/>
          <a:ext cx="5096394" cy="4114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TextBox 15">
            <a:extLst>
              <a:ext uri="{FF2B5EF4-FFF2-40B4-BE49-F238E27FC236}">
                <a16:creationId xmlns:a16="http://schemas.microsoft.com/office/drawing/2014/main" id="{0C0BCD8A-2DF6-4E47-9BDE-1159FC5A667D}"/>
              </a:ext>
            </a:extLst>
          </xdr:cNvPr>
          <xdr:cNvSpPr txBox="1"/>
        </xdr:nvSpPr>
        <xdr:spPr>
          <a:xfrm>
            <a:off x="15602271" y="8023409"/>
            <a:ext cx="4426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15</xdr:col>
      <xdr:colOff>23521</xdr:colOff>
      <xdr:row>2</xdr:row>
      <xdr:rowOff>28575</xdr:rowOff>
    </xdr:from>
    <xdr:to>
      <xdr:col>22</xdr:col>
      <xdr:colOff>400711</xdr:colOff>
      <xdr:row>19</xdr:row>
      <xdr:rowOff>152400</xdr:rowOff>
    </xdr:to>
    <xdr:grpSp>
      <xdr:nvGrpSpPr>
        <xdr:cNvPr id="10" name="Group 9">
          <a:extLst>
            <a:ext uri="{FF2B5EF4-FFF2-40B4-BE49-F238E27FC236}">
              <a16:creationId xmlns:a16="http://schemas.microsoft.com/office/drawing/2014/main" id="{3812AA59-6FD1-4F7E-A299-9321B436F9E1}"/>
            </a:ext>
          </a:extLst>
        </xdr:cNvPr>
        <xdr:cNvGrpSpPr/>
      </xdr:nvGrpSpPr>
      <xdr:grpSpPr>
        <a:xfrm>
          <a:off x="11320171" y="638175"/>
          <a:ext cx="5120640" cy="3790950"/>
          <a:chOff x="11320171" y="638175"/>
          <a:chExt cx="5120640" cy="3790950"/>
        </a:xfrm>
      </xdr:grpSpPr>
      <xdr:grpSp>
        <xdr:nvGrpSpPr>
          <xdr:cNvPr id="21" name="Group 20">
            <a:extLst>
              <a:ext uri="{FF2B5EF4-FFF2-40B4-BE49-F238E27FC236}">
                <a16:creationId xmlns:a16="http://schemas.microsoft.com/office/drawing/2014/main" id="{B940A4FE-1D14-4C36-ACF7-4E5C88A0633E}"/>
              </a:ext>
            </a:extLst>
          </xdr:cNvPr>
          <xdr:cNvGrpSpPr/>
        </xdr:nvGrpSpPr>
        <xdr:grpSpPr>
          <a:xfrm>
            <a:off x="11320171" y="638175"/>
            <a:ext cx="5120640" cy="3790950"/>
            <a:chOff x="11046544" y="219075"/>
            <a:chExt cx="5096394" cy="4103477"/>
          </a:xfrm>
        </xdr:grpSpPr>
        <xdr:graphicFrame macro="">
          <xdr:nvGraphicFramePr>
            <xdr:cNvPr id="11" name="Chart 10">
              <a:extLst>
                <a:ext uri="{FF2B5EF4-FFF2-40B4-BE49-F238E27FC236}">
                  <a16:creationId xmlns:a16="http://schemas.microsoft.com/office/drawing/2014/main" id="{9843E4C3-00AB-4C12-9BA9-33C65F3D8F30}"/>
                </a:ext>
              </a:extLst>
            </xdr:cNvPr>
            <xdr:cNvGraphicFramePr>
              <a:graphicFrameLocks noChangeAspect="1"/>
            </xdr:cNvGraphicFramePr>
          </xdr:nvGraphicFramePr>
          <xdr:xfrm>
            <a:off x="11046544" y="219075"/>
            <a:ext cx="5096394" cy="410347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4" name="TextBox 13">
              <a:extLst>
                <a:ext uri="{FF2B5EF4-FFF2-40B4-BE49-F238E27FC236}">
                  <a16:creationId xmlns:a16="http://schemas.microsoft.com/office/drawing/2014/main" id="{7CB83E77-BBC3-45CE-8262-A35C2000FC6A}"/>
                </a:ext>
              </a:extLst>
            </xdr:cNvPr>
            <xdr:cNvSpPr txBox="1"/>
          </xdr:nvSpPr>
          <xdr:spPr>
            <a:xfrm>
              <a:off x="11779456" y="2614137"/>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170</a:t>
              </a:r>
            </a:p>
          </xdr:txBody>
        </xdr:sp>
        <xdr:sp macro="" textlink="">
          <xdr:nvSpPr>
            <xdr:cNvPr id="15" name="TextBox 14">
              <a:extLst>
                <a:ext uri="{FF2B5EF4-FFF2-40B4-BE49-F238E27FC236}">
                  <a16:creationId xmlns:a16="http://schemas.microsoft.com/office/drawing/2014/main" id="{56B9D407-3B45-4193-BFDA-EC89A80A5BB5}"/>
                </a:ext>
              </a:extLst>
            </xdr:cNvPr>
            <xdr:cNvSpPr txBox="1"/>
          </xdr:nvSpPr>
          <xdr:spPr>
            <a:xfrm>
              <a:off x="11758590" y="1124672"/>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224</a:t>
              </a:r>
            </a:p>
          </xdr:txBody>
        </xdr:sp>
      </xdr:grpSp>
      <xdr:sp macro="" textlink="">
        <xdr:nvSpPr>
          <xdr:cNvPr id="17" name="TextBox 16">
            <a:extLst>
              <a:ext uri="{FF2B5EF4-FFF2-40B4-BE49-F238E27FC236}">
                <a16:creationId xmlns:a16="http://schemas.microsoft.com/office/drawing/2014/main" id="{A1053BDF-2E51-4273-9E71-5751725C52BE}"/>
              </a:ext>
            </a:extLst>
          </xdr:cNvPr>
          <xdr:cNvSpPr txBox="1"/>
        </xdr:nvSpPr>
        <xdr:spPr>
          <a:xfrm>
            <a:off x="15933710" y="3823251"/>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5000</a:t>
            </a:r>
          </a:p>
        </xdr:txBody>
      </xdr:sp>
    </xdr:grpSp>
    <xdr:clientData/>
  </xdr:twoCellAnchor>
</xdr:wsDr>
</file>

<file path=xl/drawings/drawing22.xml><?xml version="1.0" encoding="utf-8"?>
<c:userShapes xmlns:c="http://schemas.openxmlformats.org/drawingml/2006/chart">
  <cdr:relSizeAnchor xmlns:cdr="http://schemas.openxmlformats.org/drawingml/2006/chartDrawing">
    <cdr:from>
      <cdr:x>0.13994</cdr:x>
      <cdr:y>0.23245</cdr:y>
    </cdr:from>
    <cdr:to>
      <cdr:x>0.21409</cdr:x>
      <cdr:y>0.29299</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16583" y="955458"/>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230</a:t>
          </a:r>
        </a:p>
      </cdr:txBody>
    </cdr:sp>
  </cdr:relSizeAnchor>
  <cdr:relSizeAnchor xmlns:cdr="http://schemas.openxmlformats.org/drawingml/2006/chartDrawing">
    <cdr:from>
      <cdr:x>0.14075</cdr:x>
      <cdr:y>0.50087</cdr:y>
    </cdr:from>
    <cdr:to>
      <cdr:x>0.2149</cdr:x>
      <cdr:y>0.56141</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20730" y="2058770"/>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185</a:t>
          </a:r>
        </a:p>
      </cdr:txBody>
    </cdr:sp>
  </cdr:relSizeAnchor>
</c:userShapes>
</file>

<file path=xl/drawings/drawing23.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0.14268</cdr:x>
      <cdr:y>0.64548</cdr:y>
    </cdr:from>
    <cdr:to>
      <cdr:x>0.21683</cdr:x>
      <cdr:y>0.70595</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730597" y="2656008"/>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160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82825</xdr:colOff>
      <xdr:row>5</xdr:row>
      <xdr:rowOff>281608</xdr:rowOff>
    </xdr:from>
    <xdr:to>
      <xdr:col>13</xdr:col>
      <xdr:colOff>396320</xdr:colOff>
      <xdr:row>5</xdr:row>
      <xdr:rowOff>310183</xdr:rowOff>
    </xdr:to>
    <xdr:cxnSp macro="">
      <xdr:nvCxnSpPr>
        <xdr:cNvPr id="2" name="Straight Connector 1">
          <a:extLst>
            <a:ext uri="{FF2B5EF4-FFF2-40B4-BE49-F238E27FC236}">
              <a16:creationId xmlns:a16="http://schemas.microsoft.com/office/drawing/2014/main" id="{E040C9B0-302C-4EF0-829A-32DF1F477D26}"/>
            </a:ext>
          </a:extLst>
        </xdr:cNvPr>
        <xdr:cNvCxnSpPr/>
      </xdr:nvCxnSpPr>
      <xdr:spPr>
        <a:xfrm flipH="1" flipV="1">
          <a:off x="6235975" y="1157908"/>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94835</xdr:colOff>
      <xdr:row>6</xdr:row>
      <xdr:rowOff>291962</xdr:rowOff>
    </xdr:from>
    <xdr:to>
      <xdr:col>13</xdr:col>
      <xdr:colOff>408330</xdr:colOff>
      <xdr:row>6</xdr:row>
      <xdr:rowOff>320537</xdr:rowOff>
    </xdr:to>
    <xdr:cxnSp macro="">
      <xdr:nvCxnSpPr>
        <xdr:cNvPr id="3" name="Straight Connector 2">
          <a:extLst>
            <a:ext uri="{FF2B5EF4-FFF2-40B4-BE49-F238E27FC236}">
              <a16:creationId xmlns:a16="http://schemas.microsoft.com/office/drawing/2014/main" id="{A6D82B0C-96F2-4E74-A34B-8B72F34FA560}"/>
            </a:ext>
          </a:extLst>
        </xdr:cNvPr>
        <xdr:cNvCxnSpPr/>
      </xdr:nvCxnSpPr>
      <xdr:spPr>
        <a:xfrm flipH="1" flipV="1">
          <a:off x="6247985" y="1387337"/>
          <a:ext cx="4542595" cy="0"/>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6</xdr:col>
      <xdr:colOff>547344</xdr:colOff>
      <xdr:row>2</xdr:row>
      <xdr:rowOff>28575</xdr:rowOff>
    </xdr:from>
    <xdr:to>
      <xdr:col>14</xdr:col>
      <xdr:colOff>9525</xdr:colOff>
      <xdr:row>21</xdr:row>
      <xdr:rowOff>28575</xdr:rowOff>
    </xdr:to>
    <xdr:grpSp>
      <xdr:nvGrpSpPr>
        <xdr:cNvPr id="22" name="Group 21">
          <a:extLst>
            <a:ext uri="{FF2B5EF4-FFF2-40B4-BE49-F238E27FC236}">
              <a16:creationId xmlns:a16="http://schemas.microsoft.com/office/drawing/2014/main" id="{25294619-5A0C-4DDE-9DE9-5A309A567E85}"/>
            </a:ext>
          </a:extLst>
        </xdr:cNvPr>
        <xdr:cNvGrpSpPr>
          <a:grpSpLocks noChangeAspect="1"/>
        </xdr:cNvGrpSpPr>
      </xdr:nvGrpSpPr>
      <xdr:grpSpPr>
        <a:xfrm>
          <a:off x="5509869" y="638175"/>
          <a:ext cx="5100981" cy="4086225"/>
          <a:chOff x="5315858" y="219075"/>
          <a:chExt cx="5076829" cy="4258983"/>
        </a:xfrm>
      </xdr:grpSpPr>
      <xdr:graphicFrame macro="">
        <xdr:nvGraphicFramePr>
          <xdr:cNvPr id="4" name="Chart 3">
            <a:extLst>
              <a:ext uri="{FF2B5EF4-FFF2-40B4-BE49-F238E27FC236}">
                <a16:creationId xmlns:a16="http://schemas.microsoft.com/office/drawing/2014/main" id="{573C07BE-AFD6-4418-B754-1AC0DF822492}"/>
              </a:ext>
            </a:extLst>
          </xdr:cNvPr>
          <xdr:cNvGraphicFramePr>
            <a:graphicFrameLocks noChangeAspect="1"/>
          </xdr:cNvGraphicFramePr>
        </xdr:nvGraphicFramePr>
        <xdr:xfrm>
          <a:off x="5315858" y="219075"/>
          <a:ext cx="5076829" cy="425898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6">
            <a:extLst>
              <a:ext uri="{FF2B5EF4-FFF2-40B4-BE49-F238E27FC236}">
                <a16:creationId xmlns:a16="http://schemas.microsoft.com/office/drawing/2014/main" id="{37F6E2E1-4B3D-4450-8DF5-BB55BE6BAB29}"/>
              </a:ext>
            </a:extLst>
          </xdr:cNvPr>
          <xdr:cNvSpPr txBox="1"/>
        </xdr:nvSpPr>
        <xdr:spPr>
          <a:xfrm>
            <a:off x="9779483" y="3806680"/>
            <a:ext cx="442631" cy="249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xdr:from>
      <xdr:col>15</xdr:col>
      <xdr:colOff>106083</xdr:colOff>
      <xdr:row>28</xdr:row>
      <xdr:rowOff>320883</xdr:rowOff>
    </xdr:from>
    <xdr:to>
      <xdr:col>21</xdr:col>
      <xdr:colOff>365605</xdr:colOff>
      <xdr:row>28</xdr:row>
      <xdr:rowOff>338346</xdr:rowOff>
    </xdr:to>
    <xdr:cxnSp macro="">
      <xdr:nvCxnSpPr>
        <xdr:cNvPr id="8" name="Straight Connector 7">
          <a:extLst>
            <a:ext uri="{FF2B5EF4-FFF2-40B4-BE49-F238E27FC236}">
              <a16:creationId xmlns:a16="http://schemas.microsoft.com/office/drawing/2014/main" id="{68F89B5A-5C18-46C3-B359-FB649C15F67A}"/>
            </a:ext>
          </a:extLst>
        </xdr:cNvPr>
        <xdr:cNvCxnSpPr/>
      </xdr:nvCxnSpPr>
      <xdr:spPr>
        <a:xfrm flipH="1" flipV="1">
          <a:off x="11898033" y="5692983"/>
          <a:ext cx="4298122" cy="0"/>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15</xdr:col>
      <xdr:colOff>23890</xdr:colOff>
      <xdr:row>22</xdr:row>
      <xdr:rowOff>35614</xdr:rowOff>
    </xdr:from>
    <xdr:to>
      <xdr:col>22</xdr:col>
      <xdr:colOff>401080</xdr:colOff>
      <xdr:row>43</xdr:row>
      <xdr:rowOff>102289</xdr:rowOff>
    </xdr:to>
    <xdr:grpSp>
      <xdr:nvGrpSpPr>
        <xdr:cNvPr id="25" name="Group 24">
          <a:extLst>
            <a:ext uri="{FF2B5EF4-FFF2-40B4-BE49-F238E27FC236}">
              <a16:creationId xmlns:a16="http://schemas.microsoft.com/office/drawing/2014/main" id="{A53A44B1-A43F-43AA-B474-FE8B074454DA}"/>
            </a:ext>
          </a:extLst>
        </xdr:cNvPr>
        <xdr:cNvGrpSpPr>
          <a:grpSpLocks noChangeAspect="1"/>
        </xdr:cNvGrpSpPr>
      </xdr:nvGrpSpPr>
      <xdr:grpSpPr>
        <a:xfrm>
          <a:off x="11330065" y="4960039"/>
          <a:ext cx="5120640" cy="4114800"/>
          <a:chOff x="11107527" y="4727109"/>
          <a:chExt cx="5096395" cy="4114800"/>
        </a:xfrm>
      </xdr:grpSpPr>
      <xdr:graphicFrame macro="">
        <xdr:nvGraphicFramePr>
          <xdr:cNvPr id="9" name="Chart 8">
            <a:extLst>
              <a:ext uri="{FF2B5EF4-FFF2-40B4-BE49-F238E27FC236}">
                <a16:creationId xmlns:a16="http://schemas.microsoft.com/office/drawing/2014/main" id="{E3196695-F260-4556-991C-69987D53E1BF}"/>
              </a:ext>
            </a:extLst>
          </xdr:cNvPr>
          <xdr:cNvGraphicFramePr>
            <a:graphicFrameLocks noChangeAspect="1"/>
          </xdr:cNvGraphicFramePr>
        </xdr:nvGraphicFramePr>
        <xdr:xfrm>
          <a:off x="11107527" y="4727109"/>
          <a:ext cx="5096395" cy="4114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TextBox 15">
            <a:extLst>
              <a:ext uri="{FF2B5EF4-FFF2-40B4-BE49-F238E27FC236}">
                <a16:creationId xmlns:a16="http://schemas.microsoft.com/office/drawing/2014/main" id="{905DBF9A-F0AC-4C22-AEB0-16E0ADA0A10D}"/>
              </a:ext>
            </a:extLst>
          </xdr:cNvPr>
          <xdr:cNvSpPr txBox="1"/>
        </xdr:nvSpPr>
        <xdr:spPr>
          <a:xfrm>
            <a:off x="15619589" y="8177758"/>
            <a:ext cx="4426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15</xdr:col>
      <xdr:colOff>23520</xdr:colOff>
      <xdr:row>2</xdr:row>
      <xdr:rowOff>28575</xdr:rowOff>
    </xdr:from>
    <xdr:to>
      <xdr:col>22</xdr:col>
      <xdr:colOff>400710</xdr:colOff>
      <xdr:row>21</xdr:row>
      <xdr:rowOff>38100</xdr:rowOff>
    </xdr:to>
    <xdr:grpSp>
      <xdr:nvGrpSpPr>
        <xdr:cNvPr id="23" name="Group 22">
          <a:extLst>
            <a:ext uri="{FF2B5EF4-FFF2-40B4-BE49-F238E27FC236}">
              <a16:creationId xmlns:a16="http://schemas.microsoft.com/office/drawing/2014/main" id="{61086067-C97B-4EB1-BD03-9037E2FD7A72}"/>
            </a:ext>
          </a:extLst>
        </xdr:cNvPr>
        <xdr:cNvGrpSpPr>
          <a:grpSpLocks noChangeAspect="1"/>
        </xdr:cNvGrpSpPr>
      </xdr:nvGrpSpPr>
      <xdr:grpSpPr>
        <a:xfrm>
          <a:off x="11329695" y="638175"/>
          <a:ext cx="5120640" cy="4095750"/>
          <a:chOff x="11107157" y="219075"/>
          <a:chExt cx="5096395" cy="4268910"/>
        </a:xfrm>
      </xdr:grpSpPr>
      <xdr:grpSp>
        <xdr:nvGrpSpPr>
          <xdr:cNvPr id="21" name="Group 20">
            <a:extLst>
              <a:ext uri="{FF2B5EF4-FFF2-40B4-BE49-F238E27FC236}">
                <a16:creationId xmlns:a16="http://schemas.microsoft.com/office/drawing/2014/main" id="{42CFB5DD-242D-48E5-8632-FC03E93DCD11}"/>
              </a:ext>
            </a:extLst>
          </xdr:cNvPr>
          <xdr:cNvGrpSpPr/>
        </xdr:nvGrpSpPr>
        <xdr:grpSpPr>
          <a:xfrm>
            <a:off x="11107157" y="219075"/>
            <a:ext cx="5096395" cy="4268910"/>
            <a:chOff x="11107157" y="219075"/>
            <a:chExt cx="5096395" cy="4268910"/>
          </a:xfrm>
        </xdr:grpSpPr>
        <xdr:graphicFrame macro="">
          <xdr:nvGraphicFramePr>
            <xdr:cNvPr id="11" name="Chart 10">
              <a:extLst>
                <a:ext uri="{FF2B5EF4-FFF2-40B4-BE49-F238E27FC236}">
                  <a16:creationId xmlns:a16="http://schemas.microsoft.com/office/drawing/2014/main" id="{D0775484-4344-4CB2-AC43-FE0E4C3F76B9}"/>
                </a:ext>
              </a:extLst>
            </xdr:cNvPr>
            <xdr:cNvGraphicFramePr>
              <a:graphicFrameLocks noChangeAspect="1"/>
            </xdr:cNvGraphicFramePr>
          </xdr:nvGraphicFramePr>
          <xdr:xfrm>
            <a:off x="11107157" y="219075"/>
            <a:ext cx="5096395" cy="426891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4" name="TextBox 13">
              <a:extLst>
                <a:ext uri="{FF2B5EF4-FFF2-40B4-BE49-F238E27FC236}">
                  <a16:creationId xmlns:a16="http://schemas.microsoft.com/office/drawing/2014/main" id="{3B3352B1-AB03-477C-8FE9-C4BA8CCAF636}"/>
                </a:ext>
              </a:extLst>
            </xdr:cNvPr>
            <xdr:cNvSpPr txBox="1"/>
          </xdr:nvSpPr>
          <xdr:spPr>
            <a:xfrm>
              <a:off x="11804568" y="3170050"/>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140</a:t>
              </a:r>
            </a:p>
          </xdr:txBody>
        </xdr:sp>
        <xdr:sp macro="" textlink="">
          <xdr:nvSpPr>
            <xdr:cNvPr id="15" name="TextBox 14">
              <a:extLst>
                <a:ext uri="{FF2B5EF4-FFF2-40B4-BE49-F238E27FC236}">
                  <a16:creationId xmlns:a16="http://schemas.microsoft.com/office/drawing/2014/main" id="{06305846-EAF1-44A6-997B-838BB8A4AC18}"/>
                </a:ext>
              </a:extLst>
            </xdr:cNvPr>
            <xdr:cNvSpPr txBox="1"/>
          </xdr:nvSpPr>
          <xdr:spPr>
            <a:xfrm>
              <a:off x="11820070" y="1852035"/>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196</a:t>
              </a:r>
            </a:p>
          </xdr:txBody>
        </xdr:sp>
      </xdr:grpSp>
      <xdr:sp macro="" textlink="">
        <xdr:nvSpPr>
          <xdr:cNvPr id="17" name="TextBox 16">
            <a:extLst>
              <a:ext uri="{FF2B5EF4-FFF2-40B4-BE49-F238E27FC236}">
                <a16:creationId xmlns:a16="http://schemas.microsoft.com/office/drawing/2014/main" id="{139A62C0-7CD1-4002-8DFC-0BC7F4236016}"/>
              </a:ext>
            </a:extLst>
          </xdr:cNvPr>
          <xdr:cNvSpPr txBox="1"/>
        </xdr:nvSpPr>
        <xdr:spPr>
          <a:xfrm>
            <a:off x="15641522" y="3794520"/>
            <a:ext cx="442631" cy="249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wsDr>
</file>

<file path=xl/drawings/drawing25.xml><?xml version="1.0" encoding="utf-8"?>
<c:userShapes xmlns:c="http://schemas.openxmlformats.org/drawingml/2006/chart">
  <cdr:relSizeAnchor xmlns:cdr="http://schemas.openxmlformats.org/drawingml/2006/chartDrawing">
    <cdr:from>
      <cdr:x>0.1418</cdr:x>
      <cdr:y>0.39834</cdr:y>
    </cdr:from>
    <cdr:to>
      <cdr:x>0.21595</cdr:x>
      <cdr:y>0.45881</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22669" y="1641146"/>
          <a:ext cx="377898" cy="24913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202</a:t>
          </a:r>
        </a:p>
      </cdr:txBody>
    </cdr:sp>
  </cdr:relSizeAnchor>
  <cdr:relSizeAnchor xmlns:cdr="http://schemas.openxmlformats.org/drawingml/2006/chartDrawing">
    <cdr:from>
      <cdr:x>0.14277</cdr:x>
      <cdr:y>0.68268</cdr:y>
    </cdr:from>
    <cdr:to>
      <cdr:x>0.21692</cdr:x>
      <cdr:y>0.74316</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27617" y="2812632"/>
          <a:ext cx="377898" cy="24917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155</a:t>
          </a:r>
        </a:p>
      </cdr:txBody>
    </cdr:sp>
  </cdr:relSizeAnchor>
</c:userShapes>
</file>

<file path=xl/drawings/drawing26.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0.14268</cdr:x>
      <cdr:y>0.64548</cdr:y>
    </cdr:from>
    <cdr:to>
      <cdr:x>0.21683</cdr:x>
      <cdr:y>0.70595</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730597" y="2656008"/>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160</a:t>
          </a:r>
        </a:p>
      </cdr:txBody>
    </cdr:sp>
  </cdr:relSizeAnchor>
</c:userShapes>
</file>

<file path=xl/drawings/drawing27.xml><?xml version="1.0" encoding="utf-8"?>
<xdr:wsDr xmlns:xdr="http://schemas.openxmlformats.org/drawingml/2006/spreadsheetDrawing" xmlns:a="http://schemas.openxmlformats.org/drawingml/2006/main">
  <xdr:twoCellAnchor>
    <xdr:from>
      <xdr:col>7</xdr:col>
      <xdr:colOff>82825</xdr:colOff>
      <xdr:row>5</xdr:row>
      <xdr:rowOff>281608</xdr:rowOff>
    </xdr:from>
    <xdr:to>
      <xdr:col>13</xdr:col>
      <xdr:colOff>396320</xdr:colOff>
      <xdr:row>5</xdr:row>
      <xdr:rowOff>310183</xdr:rowOff>
    </xdr:to>
    <xdr:cxnSp macro="">
      <xdr:nvCxnSpPr>
        <xdr:cNvPr id="2" name="Straight Connector 1">
          <a:extLst>
            <a:ext uri="{FF2B5EF4-FFF2-40B4-BE49-F238E27FC236}">
              <a16:creationId xmlns:a16="http://schemas.microsoft.com/office/drawing/2014/main" id="{E381819F-2833-4C2F-8703-68F71B795003}"/>
            </a:ext>
          </a:extLst>
        </xdr:cNvPr>
        <xdr:cNvCxnSpPr/>
      </xdr:nvCxnSpPr>
      <xdr:spPr>
        <a:xfrm flipH="1" flipV="1">
          <a:off x="6235975" y="1157908"/>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94835</xdr:colOff>
      <xdr:row>6</xdr:row>
      <xdr:rowOff>291962</xdr:rowOff>
    </xdr:from>
    <xdr:to>
      <xdr:col>13</xdr:col>
      <xdr:colOff>408330</xdr:colOff>
      <xdr:row>6</xdr:row>
      <xdr:rowOff>320537</xdr:rowOff>
    </xdr:to>
    <xdr:cxnSp macro="">
      <xdr:nvCxnSpPr>
        <xdr:cNvPr id="3" name="Straight Connector 2">
          <a:extLst>
            <a:ext uri="{FF2B5EF4-FFF2-40B4-BE49-F238E27FC236}">
              <a16:creationId xmlns:a16="http://schemas.microsoft.com/office/drawing/2014/main" id="{C398943E-F8C6-4A06-BE22-A1C1B97F131C}"/>
            </a:ext>
          </a:extLst>
        </xdr:cNvPr>
        <xdr:cNvCxnSpPr/>
      </xdr:nvCxnSpPr>
      <xdr:spPr>
        <a:xfrm flipH="1" flipV="1">
          <a:off x="6247985" y="1387337"/>
          <a:ext cx="4542595" cy="0"/>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7</xdr:col>
      <xdr:colOff>15238</xdr:colOff>
      <xdr:row>2</xdr:row>
      <xdr:rowOff>28575</xdr:rowOff>
    </xdr:from>
    <xdr:to>
      <xdr:col>14</xdr:col>
      <xdr:colOff>201928</xdr:colOff>
      <xdr:row>21</xdr:row>
      <xdr:rowOff>85725</xdr:rowOff>
    </xdr:to>
    <xdr:grpSp>
      <xdr:nvGrpSpPr>
        <xdr:cNvPr id="19" name="Group 18">
          <a:extLst>
            <a:ext uri="{FF2B5EF4-FFF2-40B4-BE49-F238E27FC236}">
              <a16:creationId xmlns:a16="http://schemas.microsoft.com/office/drawing/2014/main" id="{A42A8BEC-1110-481E-9930-B685FC2CF32A}"/>
            </a:ext>
          </a:extLst>
        </xdr:cNvPr>
        <xdr:cNvGrpSpPr>
          <a:grpSpLocks noChangeAspect="1"/>
        </xdr:cNvGrpSpPr>
      </xdr:nvGrpSpPr>
      <xdr:grpSpPr>
        <a:xfrm>
          <a:off x="5730238" y="638175"/>
          <a:ext cx="5120640" cy="4114800"/>
          <a:chOff x="5461807" y="219075"/>
          <a:chExt cx="5096395" cy="4103477"/>
        </a:xfrm>
      </xdr:grpSpPr>
      <xdr:graphicFrame macro="">
        <xdr:nvGraphicFramePr>
          <xdr:cNvPr id="4" name="Chart 3">
            <a:extLst>
              <a:ext uri="{FF2B5EF4-FFF2-40B4-BE49-F238E27FC236}">
                <a16:creationId xmlns:a16="http://schemas.microsoft.com/office/drawing/2014/main" id="{CDF6878E-F75A-42C7-BE3D-93A5333B9D29}"/>
              </a:ext>
            </a:extLst>
          </xdr:cNvPr>
          <xdr:cNvGraphicFramePr>
            <a:graphicFrameLocks noChangeAspect="1"/>
          </xdr:cNvGraphicFramePr>
        </xdr:nvGraphicFramePr>
        <xdr:xfrm>
          <a:off x="5461807" y="219075"/>
          <a:ext cx="5096395" cy="410347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6">
            <a:extLst>
              <a:ext uri="{FF2B5EF4-FFF2-40B4-BE49-F238E27FC236}">
                <a16:creationId xmlns:a16="http://schemas.microsoft.com/office/drawing/2014/main" id="{8DE76009-31ED-4EBE-8F4C-9F123AAC0F8E}"/>
              </a:ext>
            </a:extLst>
          </xdr:cNvPr>
          <xdr:cNvSpPr txBox="1"/>
        </xdr:nvSpPr>
        <xdr:spPr>
          <a:xfrm>
            <a:off x="9962108" y="3659242"/>
            <a:ext cx="442631" cy="248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xdr:from>
      <xdr:col>15</xdr:col>
      <xdr:colOff>106083</xdr:colOff>
      <xdr:row>28</xdr:row>
      <xdr:rowOff>320883</xdr:rowOff>
    </xdr:from>
    <xdr:to>
      <xdr:col>21</xdr:col>
      <xdr:colOff>365605</xdr:colOff>
      <xdr:row>28</xdr:row>
      <xdr:rowOff>338346</xdr:rowOff>
    </xdr:to>
    <xdr:cxnSp macro="">
      <xdr:nvCxnSpPr>
        <xdr:cNvPr id="8" name="Straight Connector 7">
          <a:extLst>
            <a:ext uri="{FF2B5EF4-FFF2-40B4-BE49-F238E27FC236}">
              <a16:creationId xmlns:a16="http://schemas.microsoft.com/office/drawing/2014/main" id="{010CFE35-4207-4A24-A4AB-F316D8255827}"/>
            </a:ext>
          </a:extLst>
        </xdr:cNvPr>
        <xdr:cNvCxnSpPr/>
      </xdr:nvCxnSpPr>
      <xdr:spPr>
        <a:xfrm flipH="1" flipV="1">
          <a:off x="11898033" y="5692983"/>
          <a:ext cx="4298122" cy="0"/>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15</xdr:col>
      <xdr:colOff>23890</xdr:colOff>
      <xdr:row>22</xdr:row>
      <xdr:rowOff>92764</xdr:rowOff>
    </xdr:from>
    <xdr:to>
      <xdr:col>22</xdr:col>
      <xdr:colOff>401080</xdr:colOff>
      <xdr:row>43</xdr:row>
      <xdr:rowOff>159439</xdr:rowOff>
    </xdr:to>
    <xdr:grpSp>
      <xdr:nvGrpSpPr>
        <xdr:cNvPr id="25" name="Group 24">
          <a:extLst>
            <a:ext uri="{FF2B5EF4-FFF2-40B4-BE49-F238E27FC236}">
              <a16:creationId xmlns:a16="http://schemas.microsoft.com/office/drawing/2014/main" id="{BA482E11-1A7B-4E48-8D4E-A28A928ED4BF}"/>
            </a:ext>
          </a:extLst>
        </xdr:cNvPr>
        <xdr:cNvGrpSpPr>
          <a:grpSpLocks noChangeAspect="1"/>
        </xdr:cNvGrpSpPr>
      </xdr:nvGrpSpPr>
      <xdr:grpSpPr>
        <a:xfrm>
          <a:off x="11377690" y="4988614"/>
          <a:ext cx="5120640" cy="4114800"/>
          <a:chOff x="11081550" y="4562587"/>
          <a:chExt cx="5096395" cy="4114800"/>
        </a:xfrm>
      </xdr:grpSpPr>
      <xdr:graphicFrame macro="">
        <xdr:nvGraphicFramePr>
          <xdr:cNvPr id="9" name="Chart 8">
            <a:extLst>
              <a:ext uri="{FF2B5EF4-FFF2-40B4-BE49-F238E27FC236}">
                <a16:creationId xmlns:a16="http://schemas.microsoft.com/office/drawing/2014/main" id="{DCF7C15B-C2C6-4AE0-ACD3-C9DD5961FC67}"/>
              </a:ext>
            </a:extLst>
          </xdr:cNvPr>
          <xdr:cNvGraphicFramePr>
            <a:graphicFrameLocks noChangeAspect="1"/>
          </xdr:cNvGraphicFramePr>
        </xdr:nvGraphicFramePr>
        <xdr:xfrm>
          <a:off x="11081550" y="4562587"/>
          <a:ext cx="5096395" cy="4114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TextBox 15">
            <a:extLst>
              <a:ext uri="{FF2B5EF4-FFF2-40B4-BE49-F238E27FC236}">
                <a16:creationId xmlns:a16="http://schemas.microsoft.com/office/drawing/2014/main" id="{3399826D-333B-40F7-A9D2-1C758A3D8E3F}"/>
              </a:ext>
            </a:extLst>
          </xdr:cNvPr>
          <xdr:cNvSpPr txBox="1"/>
        </xdr:nvSpPr>
        <xdr:spPr>
          <a:xfrm>
            <a:off x="15602270" y="8014059"/>
            <a:ext cx="4426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15</xdr:col>
      <xdr:colOff>23520</xdr:colOff>
      <xdr:row>2</xdr:row>
      <xdr:rowOff>28575</xdr:rowOff>
    </xdr:from>
    <xdr:to>
      <xdr:col>22</xdr:col>
      <xdr:colOff>400710</xdr:colOff>
      <xdr:row>21</xdr:row>
      <xdr:rowOff>85725</xdr:rowOff>
    </xdr:to>
    <xdr:grpSp>
      <xdr:nvGrpSpPr>
        <xdr:cNvPr id="23" name="Group 22">
          <a:extLst>
            <a:ext uri="{FF2B5EF4-FFF2-40B4-BE49-F238E27FC236}">
              <a16:creationId xmlns:a16="http://schemas.microsoft.com/office/drawing/2014/main" id="{AEF87C39-D199-4D94-80C2-CB9BCB184C04}"/>
            </a:ext>
          </a:extLst>
        </xdr:cNvPr>
        <xdr:cNvGrpSpPr>
          <a:grpSpLocks noChangeAspect="1"/>
        </xdr:cNvGrpSpPr>
      </xdr:nvGrpSpPr>
      <xdr:grpSpPr>
        <a:xfrm>
          <a:off x="11377320" y="638175"/>
          <a:ext cx="5120640" cy="4114800"/>
          <a:chOff x="11081180" y="219075"/>
          <a:chExt cx="5096395" cy="4103477"/>
        </a:xfrm>
      </xdr:grpSpPr>
      <xdr:grpSp>
        <xdr:nvGrpSpPr>
          <xdr:cNvPr id="22" name="Group 21">
            <a:extLst>
              <a:ext uri="{FF2B5EF4-FFF2-40B4-BE49-F238E27FC236}">
                <a16:creationId xmlns:a16="http://schemas.microsoft.com/office/drawing/2014/main" id="{222BD00A-C52C-4C61-BAC8-8504F7B701F4}"/>
              </a:ext>
            </a:extLst>
          </xdr:cNvPr>
          <xdr:cNvGrpSpPr/>
        </xdr:nvGrpSpPr>
        <xdr:grpSpPr>
          <a:xfrm>
            <a:off x="11081180" y="219075"/>
            <a:ext cx="5096395" cy="4103477"/>
            <a:chOff x="11081180" y="219075"/>
            <a:chExt cx="5096395" cy="4103477"/>
          </a:xfrm>
        </xdr:grpSpPr>
        <xdr:graphicFrame macro="">
          <xdr:nvGraphicFramePr>
            <xdr:cNvPr id="11" name="Chart 10">
              <a:extLst>
                <a:ext uri="{FF2B5EF4-FFF2-40B4-BE49-F238E27FC236}">
                  <a16:creationId xmlns:a16="http://schemas.microsoft.com/office/drawing/2014/main" id="{131451E2-AFC8-450E-A82E-7499DAC5FDA1}"/>
                </a:ext>
              </a:extLst>
            </xdr:cNvPr>
            <xdr:cNvGraphicFramePr>
              <a:graphicFrameLocks noChangeAspect="1"/>
            </xdr:cNvGraphicFramePr>
          </xdr:nvGraphicFramePr>
          <xdr:xfrm>
            <a:off x="11081180" y="219075"/>
            <a:ext cx="5096395" cy="410347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4" name="TextBox 13">
              <a:extLst>
                <a:ext uri="{FF2B5EF4-FFF2-40B4-BE49-F238E27FC236}">
                  <a16:creationId xmlns:a16="http://schemas.microsoft.com/office/drawing/2014/main" id="{AFE9E4D6-AE52-4EFD-8456-2FFACA61BB5E}"/>
                </a:ext>
              </a:extLst>
            </xdr:cNvPr>
            <xdr:cNvSpPr txBox="1"/>
          </xdr:nvSpPr>
          <xdr:spPr>
            <a:xfrm>
              <a:off x="11833142" y="2642712"/>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170</a:t>
              </a:r>
            </a:p>
          </xdr:txBody>
        </xdr:sp>
        <xdr:sp macro="" textlink="">
          <xdr:nvSpPr>
            <xdr:cNvPr id="15" name="TextBox 14">
              <a:extLst>
                <a:ext uri="{FF2B5EF4-FFF2-40B4-BE49-F238E27FC236}">
                  <a16:creationId xmlns:a16="http://schemas.microsoft.com/office/drawing/2014/main" id="{FABD92D1-0838-4AE5-A533-C30E75E9C3B9}"/>
                </a:ext>
              </a:extLst>
            </xdr:cNvPr>
            <xdr:cNvSpPr txBox="1"/>
          </xdr:nvSpPr>
          <xdr:spPr>
            <a:xfrm>
              <a:off x="11826997" y="1370591"/>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212</a:t>
              </a:r>
            </a:p>
          </xdr:txBody>
        </xdr:sp>
      </xdr:grpSp>
      <xdr:sp macro="" textlink="">
        <xdr:nvSpPr>
          <xdr:cNvPr id="17" name="TextBox 16">
            <a:extLst>
              <a:ext uri="{FF2B5EF4-FFF2-40B4-BE49-F238E27FC236}">
                <a16:creationId xmlns:a16="http://schemas.microsoft.com/office/drawing/2014/main" id="{CCBCB119-935E-48C5-AD10-69119344F870}"/>
              </a:ext>
            </a:extLst>
          </xdr:cNvPr>
          <xdr:cNvSpPr txBox="1"/>
        </xdr:nvSpPr>
        <xdr:spPr>
          <a:xfrm>
            <a:off x="15568965" y="3658071"/>
            <a:ext cx="442631" cy="248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wsDr>
</file>

<file path=xl/drawings/drawing28.xml><?xml version="1.0" encoding="utf-8"?>
<c:userShapes xmlns:c="http://schemas.openxmlformats.org/drawingml/2006/chart">
  <cdr:relSizeAnchor xmlns:cdr="http://schemas.openxmlformats.org/drawingml/2006/chartDrawing">
    <cdr:from>
      <cdr:x>0.13808</cdr:x>
      <cdr:y>0.30892</cdr:y>
    </cdr:from>
    <cdr:to>
      <cdr:x>0.21223</cdr:x>
      <cdr:y>0.36946</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07058" y="1269783"/>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218</a:t>
          </a:r>
        </a:p>
      </cdr:txBody>
    </cdr:sp>
  </cdr:relSizeAnchor>
  <cdr:relSizeAnchor xmlns:cdr="http://schemas.openxmlformats.org/drawingml/2006/chartDrawing">
    <cdr:from>
      <cdr:x>0.14075</cdr:x>
      <cdr:y>0.49392</cdr:y>
    </cdr:from>
    <cdr:to>
      <cdr:x>0.2149</cdr:x>
      <cdr:y>0.55446</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20730" y="2030195"/>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185</a:t>
          </a:r>
        </a:p>
      </cdr:txBody>
    </cdr:sp>
  </cdr:relSizeAnchor>
</c:userShapes>
</file>

<file path=xl/drawings/drawing29.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0.14268</cdr:x>
      <cdr:y>0.64548</cdr:y>
    </cdr:from>
    <cdr:to>
      <cdr:x>0.21683</cdr:x>
      <cdr:y>0.70595</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730597" y="2656008"/>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160</a:t>
          </a:r>
        </a:p>
      </cdr:txBody>
    </cdr:sp>
  </cdr:relSizeAnchor>
</c:userShapes>
</file>

<file path=xl/drawings/drawing3.xml><?xml version="1.0" encoding="utf-8"?>
<xdr:wsDr xmlns:xdr="http://schemas.openxmlformats.org/drawingml/2006/spreadsheetDrawing" xmlns:a="http://schemas.openxmlformats.org/drawingml/2006/main">
  <xdr:twoCellAnchor>
    <xdr:from>
      <xdr:col>10</xdr:col>
      <xdr:colOff>82825</xdr:colOff>
      <xdr:row>7</xdr:row>
      <xdr:rowOff>281608</xdr:rowOff>
    </xdr:from>
    <xdr:to>
      <xdr:col>16</xdr:col>
      <xdr:colOff>396320</xdr:colOff>
      <xdr:row>7</xdr:row>
      <xdr:rowOff>310183</xdr:rowOff>
    </xdr:to>
    <xdr:cxnSp macro="">
      <xdr:nvCxnSpPr>
        <xdr:cNvPr id="6" name="Straight Connector 5">
          <a:extLst>
            <a:ext uri="{FF2B5EF4-FFF2-40B4-BE49-F238E27FC236}">
              <a16:creationId xmlns:a16="http://schemas.microsoft.com/office/drawing/2014/main" id="{0F1D7CE2-61AA-4884-8BA8-FF59CFC3B6A8}"/>
            </a:ext>
          </a:extLst>
        </xdr:cNvPr>
        <xdr:cNvCxnSpPr/>
      </xdr:nvCxnSpPr>
      <xdr:spPr>
        <a:xfrm flipH="1" flipV="1">
          <a:off x="7901608" y="1739347"/>
          <a:ext cx="3990973"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94835</xdr:colOff>
      <xdr:row>8</xdr:row>
      <xdr:rowOff>291962</xdr:rowOff>
    </xdr:from>
    <xdr:to>
      <xdr:col>16</xdr:col>
      <xdr:colOff>408330</xdr:colOff>
      <xdr:row>8</xdr:row>
      <xdr:rowOff>320537</xdr:rowOff>
    </xdr:to>
    <xdr:cxnSp macro="">
      <xdr:nvCxnSpPr>
        <xdr:cNvPr id="7" name="Straight Connector 6">
          <a:extLst>
            <a:ext uri="{FF2B5EF4-FFF2-40B4-BE49-F238E27FC236}">
              <a16:creationId xmlns:a16="http://schemas.microsoft.com/office/drawing/2014/main" id="{BF214246-47EB-467A-B54C-DB06DAA0EFB6}"/>
            </a:ext>
          </a:extLst>
        </xdr:cNvPr>
        <xdr:cNvCxnSpPr/>
      </xdr:nvCxnSpPr>
      <xdr:spPr>
        <a:xfrm flipH="1" flipV="1">
          <a:off x="7913618" y="2205245"/>
          <a:ext cx="3990973" cy="28575"/>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159092</xdr:colOff>
      <xdr:row>24</xdr:row>
      <xdr:rowOff>50869</xdr:rowOff>
    </xdr:from>
    <xdr:to>
      <xdr:col>24</xdr:col>
      <xdr:colOff>418614</xdr:colOff>
      <xdr:row>24</xdr:row>
      <xdr:rowOff>68332</xdr:rowOff>
    </xdr:to>
    <xdr:cxnSp macro="">
      <xdr:nvCxnSpPr>
        <xdr:cNvPr id="20" name="Straight Connector 19">
          <a:extLst>
            <a:ext uri="{FF2B5EF4-FFF2-40B4-BE49-F238E27FC236}">
              <a16:creationId xmlns:a16="http://schemas.microsoft.com/office/drawing/2014/main" id="{858D47AF-C656-4F4E-9CD8-EBC53A648498}"/>
            </a:ext>
          </a:extLst>
        </xdr:cNvPr>
        <xdr:cNvCxnSpPr/>
      </xdr:nvCxnSpPr>
      <xdr:spPr>
        <a:xfrm flipH="1" flipV="1">
          <a:off x="12881179" y="7662586"/>
          <a:ext cx="3937000" cy="17463"/>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16</xdr:col>
      <xdr:colOff>351183</xdr:colOff>
      <xdr:row>13</xdr:row>
      <xdr:rowOff>153642</xdr:rowOff>
    </xdr:from>
    <xdr:ext cx="444737" cy="248851"/>
    <xdr:sp macro="" textlink="">
      <xdr:nvSpPr>
        <xdr:cNvPr id="48" name="TextBox 47">
          <a:extLst>
            <a:ext uri="{FF2B5EF4-FFF2-40B4-BE49-F238E27FC236}">
              <a16:creationId xmlns:a16="http://schemas.microsoft.com/office/drawing/2014/main" id="{4DFED2E5-16E1-480A-A27E-96EECB335DDB}"/>
            </a:ext>
          </a:extLst>
        </xdr:cNvPr>
        <xdr:cNvSpPr txBox="1"/>
      </xdr:nvSpPr>
      <xdr:spPr>
        <a:xfrm>
          <a:off x="12220161" y="3955359"/>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3000</a:t>
          </a:r>
        </a:p>
      </xdr:txBody>
    </xdr:sp>
    <xdr:clientData/>
  </xdr:oneCellAnchor>
  <xdr:twoCellAnchor>
    <xdr:from>
      <xdr:col>18</xdr:col>
      <xdr:colOff>106083</xdr:colOff>
      <xdr:row>30</xdr:row>
      <xdr:rowOff>320883</xdr:rowOff>
    </xdr:from>
    <xdr:to>
      <xdr:col>24</xdr:col>
      <xdr:colOff>365605</xdr:colOff>
      <xdr:row>30</xdr:row>
      <xdr:rowOff>338346</xdr:rowOff>
    </xdr:to>
    <xdr:cxnSp macro="">
      <xdr:nvCxnSpPr>
        <xdr:cNvPr id="51" name="Straight Connector 50">
          <a:extLst>
            <a:ext uri="{FF2B5EF4-FFF2-40B4-BE49-F238E27FC236}">
              <a16:creationId xmlns:a16="http://schemas.microsoft.com/office/drawing/2014/main" id="{2BF88CE4-C3F9-4CA0-AFBF-372FBA5CC91E}"/>
            </a:ext>
          </a:extLst>
        </xdr:cNvPr>
        <xdr:cNvCxnSpPr/>
      </xdr:nvCxnSpPr>
      <xdr:spPr>
        <a:xfrm flipH="1" flipV="1">
          <a:off x="13383105" y="3211513"/>
          <a:ext cx="4483652" cy="17463"/>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9</xdr:col>
      <xdr:colOff>606135</xdr:colOff>
      <xdr:row>17</xdr:row>
      <xdr:rowOff>35614</xdr:rowOff>
    </xdr:from>
    <xdr:to>
      <xdr:col>17</xdr:col>
      <xdr:colOff>183225</xdr:colOff>
      <xdr:row>38</xdr:row>
      <xdr:rowOff>45139</xdr:rowOff>
    </xdr:to>
    <xdr:grpSp>
      <xdr:nvGrpSpPr>
        <xdr:cNvPr id="8" name="Group 7">
          <a:extLst>
            <a:ext uri="{FF2B5EF4-FFF2-40B4-BE49-F238E27FC236}">
              <a16:creationId xmlns:a16="http://schemas.microsoft.com/office/drawing/2014/main" id="{53A51B77-1F4C-45F2-BBDF-3A9D65E54F03}"/>
            </a:ext>
          </a:extLst>
        </xdr:cNvPr>
        <xdr:cNvGrpSpPr>
          <a:grpSpLocks noChangeAspect="1"/>
        </xdr:cNvGrpSpPr>
      </xdr:nvGrpSpPr>
      <xdr:grpSpPr>
        <a:xfrm>
          <a:off x="7559385" y="4864789"/>
          <a:ext cx="5120640" cy="4114800"/>
          <a:chOff x="7645977" y="4588564"/>
          <a:chExt cx="5102193" cy="4114800"/>
        </a:xfrm>
      </xdr:grpSpPr>
      <xdr:graphicFrame macro="">
        <xdr:nvGraphicFramePr>
          <xdr:cNvPr id="70" name="Chart 69">
            <a:extLst>
              <a:ext uri="{FF2B5EF4-FFF2-40B4-BE49-F238E27FC236}">
                <a16:creationId xmlns:a16="http://schemas.microsoft.com/office/drawing/2014/main" id="{9BAF413F-CFA1-41BB-8996-0B5DB647C812}"/>
              </a:ext>
            </a:extLst>
          </xdr:cNvPr>
          <xdr:cNvGraphicFramePr>
            <a:graphicFrameLocks noChangeAspect="1"/>
          </xdr:cNvGraphicFramePr>
        </xdr:nvGraphicFramePr>
        <xdr:xfrm>
          <a:off x="7645977" y="4588564"/>
          <a:ext cx="5102193" cy="41148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9" name="TextBox 58">
            <a:extLst>
              <a:ext uri="{FF2B5EF4-FFF2-40B4-BE49-F238E27FC236}">
                <a16:creationId xmlns:a16="http://schemas.microsoft.com/office/drawing/2014/main" id="{A50B13C4-82FE-4E4D-BBE5-9166026EFB42}"/>
              </a:ext>
            </a:extLst>
          </xdr:cNvPr>
          <xdr:cNvSpPr txBox="1"/>
        </xdr:nvSpPr>
        <xdr:spPr>
          <a:xfrm>
            <a:off x="12197196" y="8048098"/>
            <a:ext cx="44313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18</xdr:col>
      <xdr:colOff>16564</xdr:colOff>
      <xdr:row>17</xdr:row>
      <xdr:rowOff>35614</xdr:rowOff>
    </xdr:from>
    <xdr:to>
      <xdr:col>25</xdr:col>
      <xdr:colOff>203254</xdr:colOff>
      <xdr:row>38</xdr:row>
      <xdr:rowOff>45139</xdr:rowOff>
    </xdr:to>
    <xdr:grpSp>
      <xdr:nvGrpSpPr>
        <xdr:cNvPr id="9" name="Group 8">
          <a:extLst>
            <a:ext uri="{FF2B5EF4-FFF2-40B4-BE49-F238E27FC236}">
              <a16:creationId xmlns:a16="http://schemas.microsoft.com/office/drawing/2014/main" id="{E9A73D50-ED54-44C5-9B1A-3032F5E708F7}"/>
            </a:ext>
          </a:extLst>
        </xdr:cNvPr>
        <xdr:cNvGrpSpPr>
          <a:grpSpLocks noChangeAspect="1"/>
        </xdr:cNvGrpSpPr>
      </xdr:nvGrpSpPr>
      <xdr:grpSpPr>
        <a:xfrm>
          <a:off x="13218214" y="4864789"/>
          <a:ext cx="5120640" cy="4114800"/>
          <a:chOff x="13273633" y="4588564"/>
          <a:chExt cx="5102193" cy="4089952"/>
        </a:xfrm>
      </xdr:grpSpPr>
      <xdr:graphicFrame macro="">
        <xdr:nvGraphicFramePr>
          <xdr:cNvPr id="54" name="Chart 53">
            <a:extLst>
              <a:ext uri="{FF2B5EF4-FFF2-40B4-BE49-F238E27FC236}">
                <a16:creationId xmlns:a16="http://schemas.microsoft.com/office/drawing/2014/main" id="{DF32585D-AC6B-4EC1-AF2B-A9B55C38C661}"/>
              </a:ext>
            </a:extLst>
          </xdr:cNvPr>
          <xdr:cNvGraphicFramePr>
            <a:graphicFrameLocks noChangeAspect="1"/>
          </xdr:cNvGraphicFramePr>
        </xdr:nvGraphicFramePr>
        <xdr:xfrm>
          <a:off x="13273633" y="4588564"/>
          <a:ext cx="5102193" cy="408995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8" name="TextBox 57">
            <a:extLst>
              <a:ext uri="{FF2B5EF4-FFF2-40B4-BE49-F238E27FC236}">
                <a16:creationId xmlns:a16="http://schemas.microsoft.com/office/drawing/2014/main" id="{929044DC-30CD-4CE0-82BC-713C4B5DE83E}"/>
              </a:ext>
            </a:extLst>
          </xdr:cNvPr>
          <xdr:cNvSpPr txBox="1"/>
        </xdr:nvSpPr>
        <xdr:spPr>
          <a:xfrm>
            <a:off x="17832651" y="8039583"/>
            <a:ext cx="443135" cy="2473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18</xdr:col>
      <xdr:colOff>15016</xdr:colOff>
      <xdr:row>1</xdr:row>
      <xdr:rowOff>168046</xdr:rowOff>
    </xdr:from>
    <xdr:to>
      <xdr:col>25</xdr:col>
      <xdr:colOff>201706</xdr:colOff>
      <xdr:row>16</xdr:row>
      <xdr:rowOff>63271</xdr:rowOff>
    </xdr:to>
    <xdr:grpSp>
      <xdr:nvGrpSpPr>
        <xdr:cNvPr id="5" name="Group 4">
          <a:extLst>
            <a:ext uri="{FF2B5EF4-FFF2-40B4-BE49-F238E27FC236}">
              <a16:creationId xmlns:a16="http://schemas.microsoft.com/office/drawing/2014/main" id="{8400398E-A8DC-4EDB-9991-27D8F7BFCBB3}"/>
            </a:ext>
          </a:extLst>
        </xdr:cNvPr>
        <xdr:cNvGrpSpPr>
          <a:grpSpLocks noChangeAspect="1"/>
        </xdr:cNvGrpSpPr>
      </xdr:nvGrpSpPr>
      <xdr:grpSpPr>
        <a:xfrm>
          <a:off x="13216666" y="587146"/>
          <a:ext cx="5120640" cy="4114800"/>
          <a:chOff x="13272085" y="215672"/>
          <a:chExt cx="5102193" cy="4030164"/>
        </a:xfrm>
      </xdr:grpSpPr>
      <xdr:graphicFrame macro="">
        <xdr:nvGraphicFramePr>
          <xdr:cNvPr id="53" name="Chart 52">
            <a:extLst>
              <a:ext uri="{FF2B5EF4-FFF2-40B4-BE49-F238E27FC236}">
                <a16:creationId xmlns:a16="http://schemas.microsoft.com/office/drawing/2014/main" id="{1BE8E8BE-DF26-4F6C-A1FB-47ABC4F99442}"/>
              </a:ext>
            </a:extLst>
          </xdr:cNvPr>
          <xdr:cNvGraphicFramePr>
            <a:graphicFrameLocks/>
          </xdr:cNvGraphicFramePr>
        </xdr:nvGraphicFramePr>
        <xdr:xfrm>
          <a:off x="13272085" y="215672"/>
          <a:ext cx="5102193" cy="403016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7" name="TextBox 66">
            <a:extLst>
              <a:ext uri="{FF2B5EF4-FFF2-40B4-BE49-F238E27FC236}">
                <a16:creationId xmlns:a16="http://schemas.microsoft.com/office/drawing/2014/main" id="{E27C1069-1D89-4D6C-9F9C-15537A1BF9B4}"/>
              </a:ext>
            </a:extLst>
          </xdr:cNvPr>
          <xdr:cNvSpPr txBox="1"/>
        </xdr:nvSpPr>
        <xdr:spPr>
          <a:xfrm>
            <a:off x="13982432" y="2257333"/>
            <a:ext cx="377661" cy="2439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183</a:t>
            </a:r>
          </a:p>
        </xdr:txBody>
      </xdr:sp>
      <xdr:sp macro="" textlink="">
        <xdr:nvSpPr>
          <xdr:cNvPr id="68" name="TextBox 67">
            <a:extLst>
              <a:ext uri="{FF2B5EF4-FFF2-40B4-BE49-F238E27FC236}">
                <a16:creationId xmlns:a16="http://schemas.microsoft.com/office/drawing/2014/main" id="{AD9B10D6-E4CF-4803-942D-383E087544D2}"/>
              </a:ext>
            </a:extLst>
          </xdr:cNvPr>
          <xdr:cNvSpPr txBox="1"/>
        </xdr:nvSpPr>
        <xdr:spPr>
          <a:xfrm>
            <a:off x="13985746" y="1986265"/>
            <a:ext cx="377661" cy="244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187</a:t>
            </a:r>
          </a:p>
        </xdr:txBody>
      </xdr:sp>
      <xdr:sp macro="" textlink="">
        <xdr:nvSpPr>
          <xdr:cNvPr id="69" name="TextBox 68">
            <a:extLst>
              <a:ext uri="{FF2B5EF4-FFF2-40B4-BE49-F238E27FC236}">
                <a16:creationId xmlns:a16="http://schemas.microsoft.com/office/drawing/2014/main" id="{9411FE12-9E2C-41F6-9DCE-7F59A9E643E0}"/>
              </a:ext>
            </a:extLst>
          </xdr:cNvPr>
          <xdr:cNvSpPr txBox="1"/>
        </xdr:nvSpPr>
        <xdr:spPr>
          <a:xfrm>
            <a:off x="13977228" y="1548564"/>
            <a:ext cx="37766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206</a:t>
            </a:r>
          </a:p>
        </xdr:txBody>
      </xdr:sp>
      <xdr:sp macro="" textlink="">
        <xdr:nvSpPr>
          <xdr:cNvPr id="47" name="TextBox 46">
            <a:extLst>
              <a:ext uri="{FF2B5EF4-FFF2-40B4-BE49-F238E27FC236}">
                <a16:creationId xmlns:a16="http://schemas.microsoft.com/office/drawing/2014/main" id="{0206890F-92F2-44EA-A936-C0647A73A7F5}"/>
              </a:ext>
            </a:extLst>
          </xdr:cNvPr>
          <xdr:cNvSpPr txBox="1"/>
        </xdr:nvSpPr>
        <xdr:spPr>
          <a:xfrm>
            <a:off x="17805008" y="3601418"/>
            <a:ext cx="443135" cy="243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10</xdr:col>
      <xdr:colOff>6735</xdr:colOff>
      <xdr:row>1</xdr:row>
      <xdr:rowOff>168046</xdr:rowOff>
    </xdr:from>
    <xdr:to>
      <xdr:col>17</xdr:col>
      <xdr:colOff>193425</xdr:colOff>
      <xdr:row>16</xdr:row>
      <xdr:rowOff>63271</xdr:rowOff>
    </xdr:to>
    <xdr:graphicFrame macro="">
      <xdr:nvGraphicFramePr>
        <xdr:cNvPr id="42" name="Chart 41">
          <a:extLst>
            <a:ext uri="{FF2B5EF4-FFF2-40B4-BE49-F238E27FC236}">
              <a16:creationId xmlns:a16="http://schemas.microsoft.com/office/drawing/2014/main" id="{DD51E1B0-9624-416D-B13A-45F9E99870E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0.14425</cdr:x>
      <cdr:y>0.49552</cdr:y>
    </cdr:from>
    <cdr:to>
      <cdr:x>0.2431</cdr:x>
      <cdr:y>0.55707</cdr:y>
    </cdr:to>
    <cdr:sp macro="" textlink="">
      <cdr:nvSpPr>
        <cdr:cNvPr id="2" name="TextBox 66">
          <a:extLst xmlns:a="http://schemas.openxmlformats.org/drawingml/2006/main">
            <a:ext uri="{FF2B5EF4-FFF2-40B4-BE49-F238E27FC236}">
              <a16:creationId xmlns:a16="http://schemas.microsoft.com/office/drawing/2014/main" id="{0BB1D1AC-6606-49BA-AF19-F2EC99856531}"/>
            </a:ext>
          </a:extLst>
        </cdr:cNvPr>
        <cdr:cNvSpPr txBox="1"/>
      </cdr:nvSpPr>
      <cdr:spPr>
        <a:xfrm xmlns:a="http://schemas.openxmlformats.org/drawingml/2006/main">
          <a:off x="740536" y="2003581"/>
          <a:ext cx="507447"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&gt;&gt;186</a:t>
          </a:r>
        </a:p>
      </cdr:txBody>
    </cdr:sp>
  </cdr:relSizeAnchor>
</c:userShapes>
</file>

<file path=xl/drawings/drawing5.xml><?xml version="1.0" encoding="utf-8"?>
<c:userShapes xmlns:c="http://schemas.openxmlformats.org/drawingml/2006/chart">
  <cdr:relSizeAnchor xmlns:cdr="http://schemas.openxmlformats.org/drawingml/2006/chartDrawing">
    <cdr:from>
      <cdr:x>0.02603</cdr:x>
      <cdr:y>0.54989</cdr:y>
    </cdr:from>
    <cdr:to>
      <cdr:x>0.07104</cdr:x>
      <cdr:y>0.96493</cdr:y>
    </cdr:to>
    <cdr:sp macro="" textlink="">
      <cdr:nvSpPr>
        <cdr:cNvPr id="2" name="TextBox 1">
          <a:extLst xmlns:a="http://schemas.openxmlformats.org/drawingml/2006/main">
            <a:ext uri="{FF2B5EF4-FFF2-40B4-BE49-F238E27FC236}">
              <a16:creationId xmlns:a16="http://schemas.microsoft.com/office/drawing/2014/main" id="{8C5D213E-8D3B-4228-89C7-A3EAD2065333}"/>
            </a:ext>
          </a:extLst>
        </cdr:cNvPr>
        <cdr:cNvSpPr txBox="1"/>
      </cdr:nvSpPr>
      <cdr:spPr>
        <a:xfrm xmlns:a="http://schemas.openxmlformats.org/drawingml/2006/main">
          <a:off x="125335" y="1853786"/>
          <a:ext cx="216776" cy="1399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0.13123</cdr:x>
      <cdr:y>0.65438</cdr:y>
    </cdr:from>
    <cdr:to>
      <cdr:x>0.20539</cdr:x>
      <cdr:y>0.71523</cdr:y>
    </cdr:to>
    <cdr:sp macro="" textlink="">
      <cdr:nvSpPr>
        <cdr:cNvPr id="3" name="TextBox 66">
          <a:extLst xmlns:a="http://schemas.openxmlformats.org/drawingml/2006/main">
            <a:ext uri="{FF2B5EF4-FFF2-40B4-BE49-F238E27FC236}">
              <a16:creationId xmlns:a16="http://schemas.microsoft.com/office/drawing/2014/main" id="{D30280C3-1E0F-4EA5-AC6B-7C5D7053042C}"/>
            </a:ext>
          </a:extLst>
        </cdr:cNvPr>
        <cdr:cNvSpPr txBox="1"/>
      </cdr:nvSpPr>
      <cdr:spPr>
        <a:xfrm xmlns:a="http://schemas.openxmlformats.org/drawingml/2006/main">
          <a:off x="671996" y="2676387"/>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150</a:t>
          </a:r>
        </a:p>
      </cdr:txBody>
    </cdr:sp>
  </cdr:relSizeAnchor>
</c:userShapes>
</file>

<file path=xl/drawings/drawing6.xml><?xml version="1.0" encoding="utf-8"?>
<c:userShapes xmlns:c="http://schemas.openxmlformats.org/drawingml/2006/chart">
  <cdr:relSizeAnchor xmlns:cdr="http://schemas.openxmlformats.org/drawingml/2006/chartDrawing">
    <cdr:from>
      <cdr:x>0.14437</cdr:x>
      <cdr:y>0.26922</cdr:y>
    </cdr:from>
    <cdr:to>
      <cdr:x>0.97454</cdr:x>
      <cdr:y>0.9037</cdr:y>
    </cdr:to>
    <cdr:grpSp>
      <cdr:nvGrpSpPr>
        <cdr:cNvPr id="2" name="Group 1">
          <a:extLst xmlns:a="http://schemas.openxmlformats.org/drawingml/2006/main">
            <a:ext uri="{FF2B5EF4-FFF2-40B4-BE49-F238E27FC236}">
              <a16:creationId xmlns:a16="http://schemas.microsoft.com/office/drawing/2014/main" id="{B60CD1F1-678B-49EA-A97A-05EF78150D89}"/>
            </a:ext>
          </a:extLst>
        </cdr:cNvPr>
        <cdr:cNvGrpSpPr/>
      </cdr:nvGrpSpPr>
      <cdr:grpSpPr>
        <a:xfrm xmlns:a="http://schemas.openxmlformats.org/drawingml/2006/main">
          <a:off x="739267" y="1107786"/>
          <a:ext cx="4251002" cy="2610759"/>
          <a:chOff x="736604" y="1085001"/>
          <a:chExt cx="4235683" cy="2557059"/>
        </a:xfrm>
      </cdr:grpSpPr>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96809" y="1328624"/>
            <a:ext cx="377410" cy="24926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213</a:t>
            </a:r>
          </a:p>
        </cdr:txBody>
      </cdr:sp>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36604" y="1085001"/>
            <a:ext cx="443584" cy="2488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&gt;216</a:t>
            </a:r>
          </a:p>
        </cdr:txBody>
      </cdr:sp>
      <cdr:sp macro="" textlink="">
        <cdr:nvSpPr>
          <cdr:cNvPr id="6" name="TextBox 46">
            <a:extLst xmlns:a="http://schemas.openxmlformats.org/drawingml/2006/main">
              <a:ext uri="{FF2B5EF4-FFF2-40B4-BE49-F238E27FC236}">
                <a16:creationId xmlns:a16="http://schemas.microsoft.com/office/drawing/2014/main" id="{0206890F-92F2-44EA-A936-C0647A73A7F5}"/>
              </a:ext>
            </a:extLst>
          </cdr:cNvPr>
          <cdr:cNvSpPr txBox="1"/>
        </cdr:nvSpPr>
        <cdr:spPr>
          <a:xfrm xmlns:a="http://schemas.openxmlformats.org/drawingml/2006/main">
            <a:off x="4527550" y="3393209"/>
            <a:ext cx="444737"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5000</a:t>
            </a:r>
          </a:p>
        </cdr:txBody>
      </cdr:sp>
    </cdr:grpSp>
  </cdr:relSizeAnchor>
</c:userShapes>
</file>

<file path=xl/drawings/drawing7.xml><?xml version="1.0" encoding="utf-8"?>
<xdr:wsDr xmlns:xdr="http://schemas.openxmlformats.org/drawingml/2006/spreadsheetDrawing" xmlns:a="http://schemas.openxmlformats.org/drawingml/2006/main">
  <xdr:twoCellAnchor>
    <xdr:from>
      <xdr:col>11</xdr:col>
      <xdr:colOff>82825</xdr:colOff>
      <xdr:row>6</xdr:row>
      <xdr:rowOff>281608</xdr:rowOff>
    </xdr:from>
    <xdr:to>
      <xdr:col>17</xdr:col>
      <xdr:colOff>396320</xdr:colOff>
      <xdr:row>6</xdr:row>
      <xdr:rowOff>310183</xdr:rowOff>
    </xdr:to>
    <xdr:cxnSp macro="">
      <xdr:nvCxnSpPr>
        <xdr:cNvPr id="2" name="Straight Connector 1">
          <a:extLst>
            <a:ext uri="{FF2B5EF4-FFF2-40B4-BE49-F238E27FC236}">
              <a16:creationId xmlns:a16="http://schemas.microsoft.com/office/drawing/2014/main" id="{5223AE9A-3ED7-41C4-A803-B340B6E66384}"/>
            </a:ext>
          </a:extLst>
        </xdr:cNvPr>
        <xdr:cNvCxnSpPr/>
      </xdr:nvCxnSpPr>
      <xdr:spPr>
        <a:xfrm flipH="1" flipV="1">
          <a:off x="7731400" y="1738933"/>
          <a:ext cx="4542595" cy="2857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94835</xdr:colOff>
      <xdr:row>7</xdr:row>
      <xdr:rowOff>291962</xdr:rowOff>
    </xdr:from>
    <xdr:to>
      <xdr:col>17</xdr:col>
      <xdr:colOff>408330</xdr:colOff>
      <xdr:row>7</xdr:row>
      <xdr:rowOff>320537</xdr:rowOff>
    </xdr:to>
    <xdr:cxnSp macro="">
      <xdr:nvCxnSpPr>
        <xdr:cNvPr id="3" name="Straight Connector 2">
          <a:extLst>
            <a:ext uri="{FF2B5EF4-FFF2-40B4-BE49-F238E27FC236}">
              <a16:creationId xmlns:a16="http://schemas.microsoft.com/office/drawing/2014/main" id="{650D9F86-3373-4707-8D97-483E14118C38}"/>
            </a:ext>
          </a:extLst>
        </xdr:cNvPr>
        <xdr:cNvCxnSpPr/>
      </xdr:nvCxnSpPr>
      <xdr:spPr>
        <a:xfrm flipH="1" flipV="1">
          <a:off x="7743410" y="2120762"/>
          <a:ext cx="4542595" cy="0"/>
        </a:xfrm>
        <a:prstGeom prst="line">
          <a:avLst/>
        </a:prstGeom>
        <a:ln w="19050">
          <a:solidFill>
            <a:srgbClr val="0070C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10</xdr:col>
      <xdr:colOff>690338</xdr:colOff>
      <xdr:row>1</xdr:row>
      <xdr:rowOff>180974</xdr:rowOff>
    </xdr:from>
    <xdr:to>
      <xdr:col>18</xdr:col>
      <xdr:colOff>172178</xdr:colOff>
      <xdr:row>18</xdr:row>
      <xdr:rowOff>66674</xdr:rowOff>
    </xdr:to>
    <xdr:grpSp>
      <xdr:nvGrpSpPr>
        <xdr:cNvPr id="28" name="Group 27">
          <a:extLst>
            <a:ext uri="{FF2B5EF4-FFF2-40B4-BE49-F238E27FC236}">
              <a16:creationId xmlns:a16="http://schemas.microsoft.com/office/drawing/2014/main" id="{BBDC171C-B9A9-4427-8BC5-79C788C24514}"/>
            </a:ext>
          </a:extLst>
        </xdr:cNvPr>
        <xdr:cNvGrpSpPr>
          <a:grpSpLocks noChangeAspect="1"/>
        </xdr:cNvGrpSpPr>
      </xdr:nvGrpSpPr>
      <xdr:grpSpPr>
        <a:xfrm>
          <a:off x="8253188" y="600074"/>
          <a:ext cx="5120640" cy="4152900"/>
          <a:chOff x="8379611" y="152460"/>
          <a:chExt cx="5120640" cy="4023360"/>
        </a:xfrm>
      </xdr:grpSpPr>
      <xdr:graphicFrame macro="">
        <xdr:nvGraphicFramePr>
          <xdr:cNvPr id="5" name="Chart 4">
            <a:extLst>
              <a:ext uri="{FF2B5EF4-FFF2-40B4-BE49-F238E27FC236}">
                <a16:creationId xmlns:a16="http://schemas.microsoft.com/office/drawing/2014/main" id="{6A5FA56B-14BA-4640-AB8D-95EA20A77DA0}"/>
              </a:ext>
            </a:extLst>
          </xdr:cNvPr>
          <xdr:cNvGraphicFramePr>
            <a:graphicFrameLocks noChangeAspect="1"/>
          </xdr:cNvGraphicFramePr>
        </xdr:nvGraphicFramePr>
        <xdr:xfrm>
          <a:off x="8379611" y="152460"/>
          <a:ext cx="5120640" cy="402336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TextBox 7">
            <a:extLst>
              <a:ext uri="{FF2B5EF4-FFF2-40B4-BE49-F238E27FC236}">
                <a16:creationId xmlns:a16="http://schemas.microsoft.com/office/drawing/2014/main" id="{A0ABE2D2-EE7E-49C3-A263-248DC38C86A0}"/>
              </a:ext>
            </a:extLst>
          </xdr:cNvPr>
          <xdr:cNvSpPr txBox="1"/>
        </xdr:nvSpPr>
        <xdr:spPr>
          <a:xfrm>
            <a:off x="12941501" y="3522028"/>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xdr:from>
      <xdr:col>19</xdr:col>
      <xdr:colOff>106083</xdr:colOff>
      <xdr:row>29</xdr:row>
      <xdr:rowOff>320883</xdr:rowOff>
    </xdr:from>
    <xdr:to>
      <xdr:col>25</xdr:col>
      <xdr:colOff>365605</xdr:colOff>
      <xdr:row>29</xdr:row>
      <xdr:rowOff>338346</xdr:rowOff>
    </xdr:to>
    <xdr:cxnSp macro="">
      <xdr:nvCxnSpPr>
        <xdr:cNvPr id="9" name="Straight Connector 8">
          <a:extLst>
            <a:ext uri="{FF2B5EF4-FFF2-40B4-BE49-F238E27FC236}">
              <a16:creationId xmlns:a16="http://schemas.microsoft.com/office/drawing/2014/main" id="{35E96C34-FF8E-451D-87B8-A6C8BFD96498}"/>
            </a:ext>
          </a:extLst>
        </xdr:cNvPr>
        <xdr:cNvCxnSpPr/>
      </xdr:nvCxnSpPr>
      <xdr:spPr>
        <a:xfrm flipH="1" flipV="1">
          <a:off x="13393458" y="6855033"/>
          <a:ext cx="4488622" cy="0"/>
        </a:xfrm>
        <a:prstGeom prst="line">
          <a:avLst/>
        </a:prstGeom>
        <a:ln w="19050">
          <a:solidFill>
            <a:schemeClr val="bg1">
              <a:lumMod val="50000"/>
            </a:schemeClr>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absolute">
    <xdr:from>
      <xdr:col>11</xdr:col>
      <xdr:colOff>0</xdr:colOff>
      <xdr:row>19</xdr:row>
      <xdr:rowOff>64189</xdr:rowOff>
    </xdr:from>
    <xdr:to>
      <xdr:col>18</xdr:col>
      <xdr:colOff>186690</xdr:colOff>
      <xdr:row>40</xdr:row>
      <xdr:rowOff>83239</xdr:rowOff>
    </xdr:to>
    <xdr:grpSp>
      <xdr:nvGrpSpPr>
        <xdr:cNvPr id="30" name="Group 29">
          <a:extLst>
            <a:ext uri="{FF2B5EF4-FFF2-40B4-BE49-F238E27FC236}">
              <a16:creationId xmlns:a16="http://schemas.microsoft.com/office/drawing/2014/main" id="{73A416BF-D613-499E-81A6-ADAF2D341BE1}"/>
            </a:ext>
          </a:extLst>
        </xdr:cNvPr>
        <xdr:cNvGrpSpPr>
          <a:grpSpLocks noChangeAspect="1"/>
        </xdr:cNvGrpSpPr>
      </xdr:nvGrpSpPr>
      <xdr:grpSpPr>
        <a:xfrm>
          <a:off x="8267700" y="4950514"/>
          <a:ext cx="5120640" cy="4114800"/>
          <a:chOff x="8390659" y="4354769"/>
          <a:chExt cx="5120640" cy="4023360"/>
        </a:xfrm>
      </xdr:grpSpPr>
      <xdr:graphicFrame macro="">
        <xdr:nvGraphicFramePr>
          <xdr:cNvPr id="19" name="Chart 18">
            <a:extLst>
              <a:ext uri="{FF2B5EF4-FFF2-40B4-BE49-F238E27FC236}">
                <a16:creationId xmlns:a16="http://schemas.microsoft.com/office/drawing/2014/main" id="{C6E6938D-AE9E-486E-817E-EE40098D723D}"/>
              </a:ext>
            </a:extLst>
          </xdr:cNvPr>
          <xdr:cNvGraphicFramePr>
            <a:graphicFrameLocks/>
          </xdr:cNvGraphicFramePr>
        </xdr:nvGraphicFramePr>
        <xdr:xfrm>
          <a:off x="8390659" y="4354769"/>
          <a:ext cx="5120640" cy="402336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1" name="TextBox 20">
            <a:extLst>
              <a:ext uri="{FF2B5EF4-FFF2-40B4-BE49-F238E27FC236}">
                <a16:creationId xmlns:a16="http://schemas.microsoft.com/office/drawing/2014/main" id="{3E0C10F8-D208-40E2-B1F5-4ED5C0C9A7B8}"/>
              </a:ext>
            </a:extLst>
          </xdr:cNvPr>
          <xdr:cNvSpPr txBox="1"/>
        </xdr:nvSpPr>
        <xdr:spPr>
          <a:xfrm>
            <a:off x="12941878" y="7736372"/>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19</xdr:col>
      <xdr:colOff>16564</xdr:colOff>
      <xdr:row>19</xdr:row>
      <xdr:rowOff>64189</xdr:rowOff>
    </xdr:from>
    <xdr:to>
      <xdr:col>26</xdr:col>
      <xdr:colOff>203254</xdr:colOff>
      <xdr:row>40</xdr:row>
      <xdr:rowOff>83239</xdr:rowOff>
    </xdr:to>
    <xdr:grpSp>
      <xdr:nvGrpSpPr>
        <xdr:cNvPr id="29" name="Group 28">
          <a:extLst>
            <a:ext uri="{FF2B5EF4-FFF2-40B4-BE49-F238E27FC236}">
              <a16:creationId xmlns:a16="http://schemas.microsoft.com/office/drawing/2014/main" id="{28B5E0D3-B9C6-4D4C-B06F-0E9AA7722126}"/>
            </a:ext>
          </a:extLst>
        </xdr:cNvPr>
        <xdr:cNvGrpSpPr>
          <a:grpSpLocks noChangeAspect="1"/>
        </xdr:cNvGrpSpPr>
      </xdr:nvGrpSpPr>
      <xdr:grpSpPr>
        <a:xfrm>
          <a:off x="13923064" y="4950514"/>
          <a:ext cx="5120640" cy="4114800"/>
          <a:chOff x="14018314" y="4354769"/>
          <a:chExt cx="5120640" cy="4023360"/>
        </a:xfrm>
      </xdr:grpSpPr>
      <xdr:graphicFrame macro="">
        <xdr:nvGraphicFramePr>
          <xdr:cNvPr id="10" name="Chart 9">
            <a:extLst>
              <a:ext uri="{FF2B5EF4-FFF2-40B4-BE49-F238E27FC236}">
                <a16:creationId xmlns:a16="http://schemas.microsoft.com/office/drawing/2014/main" id="{78884F1C-B795-4E34-97D3-FFD2753D20E9}"/>
              </a:ext>
            </a:extLst>
          </xdr:cNvPr>
          <xdr:cNvGraphicFramePr>
            <a:graphicFrameLocks noChangeAspect="1"/>
          </xdr:cNvGraphicFramePr>
        </xdr:nvGraphicFramePr>
        <xdr:xfrm>
          <a:off x="14018314" y="4354769"/>
          <a:ext cx="5120640" cy="402336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2" name="TextBox 21">
            <a:extLst>
              <a:ext uri="{FF2B5EF4-FFF2-40B4-BE49-F238E27FC236}">
                <a16:creationId xmlns:a16="http://schemas.microsoft.com/office/drawing/2014/main" id="{512FBDBE-F45A-4CA3-8828-90F3668287A9}"/>
              </a:ext>
            </a:extLst>
          </xdr:cNvPr>
          <xdr:cNvSpPr txBox="1"/>
        </xdr:nvSpPr>
        <xdr:spPr>
          <a:xfrm>
            <a:off x="18558351" y="7731665"/>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twoCellAnchor editAs="absolute">
    <xdr:from>
      <xdr:col>19</xdr:col>
      <xdr:colOff>6358</xdr:colOff>
      <xdr:row>1</xdr:row>
      <xdr:rowOff>180974</xdr:rowOff>
    </xdr:from>
    <xdr:to>
      <xdr:col>26</xdr:col>
      <xdr:colOff>193048</xdr:colOff>
      <xdr:row>18</xdr:row>
      <xdr:rowOff>66674</xdr:rowOff>
    </xdr:to>
    <xdr:grpSp>
      <xdr:nvGrpSpPr>
        <xdr:cNvPr id="24" name="Group 23">
          <a:extLst>
            <a:ext uri="{FF2B5EF4-FFF2-40B4-BE49-F238E27FC236}">
              <a16:creationId xmlns:a16="http://schemas.microsoft.com/office/drawing/2014/main" id="{6BA6D421-4A41-403A-8161-0117E905B3B1}"/>
            </a:ext>
          </a:extLst>
        </xdr:cNvPr>
        <xdr:cNvGrpSpPr>
          <a:grpSpLocks noChangeAspect="1"/>
        </xdr:cNvGrpSpPr>
      </xdr:nvGrpSpPr>
      <xdr:grpSpPr>
        <a:xfrm>
          <a:off x="13912858" y="600074"/>
          <a:ext cx="5120640" cy="4152900"/>
          <a:chOff x="14008108" y="161120"/>
          <a:chExt cx="5120640" cy="4023360"/>
        </a:xfrm>
      </xdr:grpSpPr>
      <xdr:grpSp>
        <xdr:nvGrpSpPr>
          <xdr:cNvPr id="37" name="Group 36">
            <a:extLst>
              <a:ext uri="{FF2B5EF4-FFF2-40B4-BE49-F238E27FC236}">
                <a16:creationId xmlns:a16="http://schemas.microsoft.com/office/drawing/2014/main" id="{18EDD7F2-9CB7-403C-9B0C-E2FB77D89175}"/>
              </a:ext>
            </a:extLst>
          </xdr:cNvPr>
          <xdr:cNvGrpSpPr/>
        </xdr:nvGrpSpPr>
        <xdr:grpSpPr>
          <a:xfrm>
            <a:off x="14008108" y="161120"/>
            <a:ext cx="5120640" cy="4023360"/>
            <a:chOff x="14008108" y="161120"/>
            <a:chExt cx="5120640" cy="4023360"/>
          </a:xfrm>
        </xdr:grpSpPr>
        <xdr:graphicFrame macro="">
          <xdr:nvGraphicFramePr>
            <xdr:cNvPr id="12" name="Chart 11">
              <a:extLst>
                <a:ext uri="{FF2B5EF4-FFF2-40B4-BE49-F238E27FC236}">
                  <a16:creationId xmlns:a16="http://schemas.microsoft.com/office/drawing/2014/main" id="{D4FF68B5-AA8A-4D03-9B7A-2CE9AC8F4584}"/>
                </a:ext>
              </a:extLst>
            </xdr:cNvPr>
            <xdr:cNvGraphicFramePr>
              <a:graphicFrameLocks noChangeAspect="1"/>
            </xdr:cNvGraphicFramePr>
          </xdr:nvGraphicFramePr>
          <xdr:xfrm>
            <a:off x="14008108" y="161120"/>
            <a:ext cx="5120640" cy="402336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6" name="TextBox 15">
              <a:extLst>
                <a:ext uri="{FF2B5EF4-FFF2-40B4-BE49-F238E27FC236}">
                  <a16:creationId xmlns:a16="http://schemas.microsoft.com/office/drawing/2014/main" id="{0350B8C9-0E91-4599-AFB4-8FDAC7B0648D}"/>
                </a:ext>
              </a:extLst>
            </xdr:cNvPr>
            <xdr:cNvSpPr txBox="1"/>
          </xdr:nvSpPr>
          <xdr:spPr>
            <a:xfrm>
              <a:off x="14761114" y="2216350"/>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183</a:t>
              </a:r>
            </a:p>
          </xdr:txBody>
        </xdr:sp>
        <xdr:sp macro="" textlink="">
          <xdr:nvSpPr>
            <xdr:cNvPr id="17" name="TextBox 16">
              <a:extLst>
                <a:ext uri="{FF2B5EF4-FFF2-40B4-BE49-F238E27FC236}">
                  <a16:creationId xmlns:a16="http://schemas.microsoft.com/office/drawing/2014/main" id="{51C78BBB-6520-4F34-BCD6-E414E8AD4B78}"/>
                </a:ext>
              </a:extLst>
            </xdr:cNvPr>
            <xdr:cNvSpPr txBox="1"/>
          </xdr:nvSpPr>
          <xdr:spPr>
            <a:xfrm>
              <a:off x="14755768" y="1922769"/>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187</a:t>
              </a:r>
            </a:p>
          </xdr:txBody>
        </xdr:sp>
        <xdr:sp macro="" textlink="">
          <xdr:nvSpPr>
            <xdr:cNvPr id="18" name="TextBox 17">
              <a:extLst>
                <a:ext uri="{FF2B5EF4-FFF2-40B4-BE49-F238E27FC236}">
                  <a16:creationId xmlns:a16="http://schemas.microsoft.com/office/drawing/2014/main" id="{6B0CD572-F1F4-4CB8-A84A-D78818B7CA13}"/>
                </a:ext>
              </a:extLst>
            </xdr:cNvPr>
            <xdr:cNvSpPr txBox="1"/>
          </xdr:nvSpPr>
          <xdr:spPr>
            <a:xfrm>
              <a:off x="14764427" y="1488689"/>
              <a:ext cx="3797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206</a:t>
              </a:r>
            </a:p>
          </xdr:txBody>
        </xdr:sp>
      </xdr:grpSp>
      <xdr:sp macro="" textlink="">
        <xdr:nvSpPr>
          <xdr:cNvPr id="23" name="TextBox 22">
            <a:extLst>
              <a:ext uri="{FF2B5EF4-FFF2-40B4-BE49-F238E27FC236}">
                <a16:creationId xmlns:a16="http://schemas.microsoft.com/office/drawing/2014/main" id="{EFD9F5F6-571A-4786-A188-23343A7F37F3}"/>
              </a:ext>
            </a:extLst>
          </xdr:cNvPr>
          <xdr:cNvSpPr txBox="1"/>
        </xdr:nvSpPr>
        <xdr:spPr>
          <a:xfrm>
            <a:off x="18541031" y="3550831"/>
            <a:ext cx="444737" cy="243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5000</a:t>
            </a:r>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0.14094</cdr:x>
      <cdr:y>0.32636</cdr:y>
    </cdr:from>
    <cdr:to>
      <cdr:x>0.21509</cdr:x>
      <cdr:y>0.38683</cdr:y>
    </cdr:to>
    <cdr:sp macro="" textlink="">
      <cdr:nvSpPr>
        <cdr:cNvPr id="3"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21691" y="1342887"/>
          <a:ext cx="379719"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207</a:t>
          </a:r>
        </a:p>
      </cdr:txBody>
    </cdr:sp>
  </cdr:relSizeAnchor>
  <cdr:relSizeAnchor xmlns:cdr="http://schemas.openxmlformats.org/drawingml/2006/chartDrawing">
    <cdr:from>
      <cdr:x>0.13932</cdr:x>
      <cdr:y>0.3932</cdr:y>
    </cdr:from>
    <cdr:to>
      <cdr:x>0.21347</cdr:x>
      <cdr:y>0.45368</cdr:y>
    </cdr:to>
    <cdr:sp macro="" textlink="">
      <cdr:nvSpPr>
        <cdr:cNvPr id="4" name="TextBox 66">
          <a:extLst xmlns:a="http://schemas.openxmlformats.org/drawingml/2006/main">
            <a:ext uri="{FF2B5EF4-FFF2-40B4-BE49-F238E27FC236}">
              <a16:creationId xmlns:a16="http://schemas.microsoft.com/office/drawing/2014/main" id="{E27C1069-1D89-4D6C-9F9C-15537A1BF9B4}"/>
            </a:ext>
          </a:extLst>
        </cdr:cNvPr>
        <cdr:cNvSpPr txBox="1"/>
      </cdr:nvSpPr>
      <cdr:spPr>
        <a:xfrm xmlns:a="http://schemas.openxmlformats.org/drawingml/2006/main">
          <a:off x="713408" y="1581972"/>
          <a:ext cx="379695" cy="24333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203</a:t>
          </a:r>
        </a:p>
      </cdr:txBody>
    </cdr:sp>
  </cdr:relSizeAnchor>
</c:userShapes>
</file>

<file path=xl/drawings/drawing9.xml><?xml version="1.0" encoding="utf-8"?>
<c:userShapes xmlns:c="http://schemas.openxmlformats.org/drawingml/2006/chart">
  <cdr:relSizeAnchor xmlns:cdr="http://schemas.openxmlformats.org/drawingml/2006/chartDrawing">
    <cdr:from>
      <cdr:x>0.15278</cdr:x>
      <cdr:y>0.48912</cdr:y>
    </cdr:from>
    <cdr:to>
      <cdr:x>0.2394</cdr:x>
      <cdr:y>0.55097</cdr:y>
    </cdr:to>
    <cdr:sp macro="" textlink="">
      <cdr:nvSpPr>
        <cdr:cNvPr id="2" name="TextBox 66">
          <a:extLst xmlns:a="http://schemas.openxmlformats.org/drawingml/2006/main">
            <a:ext uri="{FF2B5EF4-FFF2-40B4-BE49-F238E27FC236}">
              <a16:creationId xmlns:a16="http://schemas.microsoft.com/office/drawing/2014/main" id="{0BB1D1AC-6606-49BA-AF19-F2EC99856531}"/>
            </a:ext>
          </a:extLst>
        </cdr:cNvPr>
        <cdr:cNvSpPr txBox="1"/>
      </cdr:nvSpPr>
      <cdr:spPr>
        <a:xfrm xmlns:a="http://schemas.openxmlformats.org/drawingml/2006/main">
          <a:off x="782316" y="1967888"/>
          <a:ext cx="443583"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t>&gt;186</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isheries.noaa.gov/resource/document/technical-guidance-assessing-effects-anthropogenic-sound-marine-mammal" TargetMode="External"/><Relationship Id="rId1" Type="http://schemas.openxmlformats.org/officeDocument/2006/relationships/hyperlink" Target="http://www.greateratlantic.fisheries.noaa.gov/protected/section7/guidance/consultation/index.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46D6-B17E-4ED5-8CE4-2D54644D4C2F}">
  <sheetPr>
    <pageSetUpPr fitToPage="1"/>
  </sheetPr>
  <dimension ref="A1:I74"/>
  <sheetViews>
    <sheetView showGridLines="0" workbookViewId="0">
      <selection activeCell="I28" sqref="I28"/>
    </sheetView>
  </sheetViews>
  <sheetFormatPr defaultRowHeight="15" x14ac:dyDescent="0.25"/>
  <cols>
    <col min="1" max="1" width="4.42578125" customWidth="1"/>
    <col min="2" max="2" width="5.5703125" style="5" customWidth="1"/>
    <col min="3" max="4" width="5.5703125" customWidth="1"/>
    <col min="5" max="5" width="137.5703125" style="1" customWidth="1"/>
    <col min="6" max="6" width="4.7109375" style="3" customWidth="1"/>
    <col min="7" max="7" width="3.42578125" customWidth="1"/>
    <col min="8" max="8" width="4.28515625" customWidth="1"/>
    <col min="9" max="9" width="3" customWidth="1"/>
  </cols>
  <sheetData>
    <row r="1" spans="1:9" ht="54" customHeight="1" thickBot="1" x14ac:dyDescent="0.3">
      <c r="A1" s="307" t="str">
        <f>Calcs!A1</f>
        <v>Damped Cylindrical Spreading Model 
for Offshore Steel Piles 20200130  v3.0</v>
      </c>
      <c r="B1" s="308"/>
      <c r="C1" s="308"/>
      <c r="D1" s="308"/>
      <c r="E1" s="309"/>
    </row>
    <row r="2" spans="1:9" x14ac:dyDescent="0.25">
      <c r="A2" s="273"/>
      <c r="B2" s="274"/>
      <c r="C2" s="275"/>
      <c r="D2" s="275"/>
      <c r="E2" s="276"/>
    </row>
    <row r="3" spans="1:9" x14ac:dyDescent="0.25">
      <c r="A3" s="273"/>
      <c r="B3" s="274"/>
      <c r="C3" s="275"/>
      <c r="D3" s="275"/>
      <c r="E3" s="276"/>
    </row>
    <row r="4" spans="1:9" x14ac:dyDescent="0.25">
      <c r="A4" s="310" t="s">
        <v>158</v>
      </c>
      <c r="B4" s="311"/>
      <c r="C4" s="311"/>
      <c r="D4" s="311"/>
      <c r="E4" s="276"/>
    </row>
    <row r="5" spans="1:9" ht="30.75" customHeight="1" x14ac:dyDescent="0.25">
      <c r="A5" s="273"/>
      <c r="B5" s="277"/>
      <c r="C5" s="275"/>
      <c r="D5" s="275"/>
      <c r="E5" s="278" t="s">
        <v>213</v>
      </c>
      <c r="G5" s="288" t="s">
        <v>247</v>
      </c>
      <c r="H5" s="2" t="s">
        <v>249</v>
      </c>
      <c r="I5" s="2"/>
    </row>
    <row r="6" spans="1:9" ht="30.75" customHeight="1" x14ac:dyDescent="0.25">
      <c r="A6" s="273"/>
      <c r="B6" s="277"/>
      <c r="C6" s="275"/>
      <c r="D6" s="275"/>
      <c r="E6" s="279" t="s">
        <v>245</v>
      </c>
      <c r="G6" s="288" t="s">
        <v>247</v>
      </c>
      <c r="H6" s="2" t="s">
        <v>250</v>
      </c>
      <c r="I6" s="2"/>
    </row>
    <row r="7" spans="1:9" ht="30.75" customHeight="1" x14ac:dyDescent="0.25">
      <c r="A7" s="273"/>
      <c r="B7" s="277"/>
      <c r="C7" s="275"/>
      <c r="D7" s="275"/>
      <c r="E7" s="278" t="s">
        <v>246</v>
      </c>
    </row>
    <row r="8" spans="1:9" x14ac:dyDescent="0.25">
      <c r="A8" s="273"/>
      <c r="B8" s="277"/>
      <c r="C8" s="275"/>
      <c r="D8" s="275"/>
      <c r="E8" s="278"/>
    </row>
    <row r="9" spans="1:9" x14ac:dyDescent="0.25">
      <c r="A9" s="310" t="s">
        <v>175</v>
      </c>
      <c r="B9" s="311"/>
      <c r="C9" s="311"/>
      <c r="D9" s="311"/>
      <c r="E9" s="276"/>
    </row>
    <row r="10" spans="1:9" x14ac:dyDescent="0.25">
      <c r="A10" s="273"/>
      <c r="B10" s="274"/>
      <c r="C10" s="280" t="s">
        <v>248</v>
      </c>
      <c r="D10" s="280"/>
      <c r="E10" s="278"/>
    </row>
    <row r="11" spans="1:9" ht="30" x14ac:dyDescent="0.25">
      <c r="A11" s="273"/>
      <c r="B11" s="277"/>
      <c r="C11" s="275"/>
      <c r="D11" s="275"/>
      <c r="E11" s="281" t="s">
        <v>155</v>
      </c>
    </row>
    <row r="12" spans="1:9" x14ac:dyDescent="0.25">
      <c r="A12" s="273"/>
      <c r="B12" s="277"/>
      <c r="C12" s="280"/>
      <c r="D12" s="280"/>
      <c r="E12" s="278"/>
    </row>
    <row r="13" spans="1:9" x14ac:dyDescent="0.25">
      <c r="A13" s="273"/>
      <c r="B13" s="311" t="s">
        <v>176</v>
      </c>
      <c r="C13" s="311"/>
      <c r="D13" s="311"/>
      <c r="E13" s="276"/>
    </row>
    <row r="14" spans="1:9" x14ac:dyDescent="0.25">
      <c r="A14" s="273"/>
      <c r="B14" s="274"/>
      <c r="C14" s="282" t="s">
        <v>239</v>
      </c>
      <c r="D14" s="282"/>
      <c r="E14" s="276"/>
    </row>
    <row r="15" spans="1:9" x14ac:dyDescent="0.25">
      <c r="A15" s="273"/>
      <c r="B15" s="274"/>
      <c r="C15" s="275"/>
      <c r="D15" s="269">
        <v>1</v>
      </c>
      <c r="E15" s="276" t="s">
        <v>160</v>
      </c>
    </row>
    <row r="16" spans="1:9" ht="17.25" x14ac:dyDescent="0.25">
      <c r="A16" s="273"/>
      <c r="B16" s="274"/>
      <c r="C16" s="275"/>
      <c r="D16" s="269">
        <v>2</v>
      </c>
      <c r="E16" s="276" t="s">
        <v>214</v>
      </c>
    </row>
    <row r="17" spans="1:5" x14ac:dyDescent="0.25">
      <c r="A17" s="273"/>
      <c r="B17" s="274"/>
      <c r="C17" s="275"/>
      <c r="D17" s="269">
        <v>3</v>
      </c>
      <c r="E17" s="276" t="s">
        <v>215</v>
      </c>
    </row>
    <row r="18" spans="1:5" x14ac:dyDescent="0.25">
      <c r="A18" s="273"/>
      <c r="B18" s="274"/>
      <c r="C18" s="275"/>
      <c r="D18" s="269">
        <v>4</v>
      </c>
      <c r="E18" s="279" t="s">
        <v>159</v>
      </c>
    </row>
    <row r="19" spans="1:5" x14ac:dyDescent="0.25">
      <c r="A19" s="273"/>
      <c r="B19" s="283"/>
      <c r="C19" s="275"/>
      <c r="D19" s="270">
        <v>5</v>
      </c>
      <c r="E19" s="279" t="s">
        <v>216</v>
      </c>
    </row>
    <row r="20" spans="1:5" x14ac:dyDescent="0.25">
      <c r="A20" s="273"/>
      <c r="B20" s="274"/>
      <c r="C20" s="275"/>
      <c r="D20" s="270">
        <v>6</v>
      </c>
      <c r="E20" s="276" t="s">
        <v>170</v>
      </c>
    </row>
    <row r="21" spans="1:5" x14ac:dyDescent="0.25">
      <c r="A21" s="273"/>
      <c r="B21" s="274"/>
      <c r="C21" s="270"/>
      <c r="D21" s="270"/>
      <c r="E21" s="276"/>
    </row>
    <row r="22" spans="1:5" x14ac:dyDescent="0.25">
      <c r="A22" s="273"/>
      <c r="B22" s="274"/>
      <c r="C22" s="275" t="s">
        <v>240</v>
      </c>
      <c r="D22" s="275"/>
      <c r="E22" s="276"/>
    </row>
    <row r="23" spans="1:5" x14ac:dyDescent="0.25">
      <c r="A23" s="273"/>
      <c r="B23" s="274"/>
      <c r="C23" s="275"/>
      <c r="D23" s="271">
        <v>1</v>
      </c>
      <c r="E23" s="284" t="s">
        <v>218</v>
      </c>
    </row>
    <row r="24" spans="1:5" x14ac:dyDescent="0.25">
      <c r="A24" s="273"/>
      <c r="B24" s="274"/>
      <c r="C24" s="275"/>
      <c r="D24" s="271">
        <v>2</v>
      </c>
      <c r="E24" s="284" t="s">
        <v>219</v>
      </c>
    </row>
    <row r="25" spans="1:5" x14ac:dyDescent="0.25">
      <c r="A25" s="273"/>
      <c r="B25" s="274"/>
      <c r="C25" s="275"/>
      <c r="D25" s="271">
        <v>3</v>
      </c>
      <c r="E25" s="284" t="s">
        <v>8</v>
      </c>
    </row>
    <row r="26" spans="1:5" ht="30" x14ac:dyDescent="0.25">
      <c r="A26" s="273"/>
      <c r="B26" s="274"/>
      <c r="C26" s="275"/>
      <c r="D26" s="271"/>
      <c r="E26" s="285" t="s">
        <v>156</v>
      </c>
    </row>
    <row r="27" spans="1:5" ht="30" x14ac:dyDescent="0.25">
      <c r="A27" s="273"/>
      <c r="B27" s="274"/>
      <c r="C27" s="275"/>
      <c r="D27" s="271">
        <v>4</v>
      </c>
      <c r="E27" s="286" t="s">
        <v>157</v>
      </c>
    </row>
    <row r="28" spans="1:5" x14ac:dyDescent="0.25">
      <c r="A28" s="273"/>
      <c r="B28" s="274"/>
      <c r="C28" s="271"/>
      <c r="D28" s="271"/>
      <c r="E28" s="287" t="s">
        <v>199</v>
      </c>
    </row>
    <row r="29" spans="1:5" x14ac:dyDescent="0.25">
      <c r="A29" s="273"/>
      <c r="B29" s="274"/>
      <c r="C29" s="275"/>
      <c r="D29" s="275"/>
      <c r="E29" s="276"/>
    </row>
    <row r="30" spans="1:5" x14ac:dyDescent="0.25">
      <c r="A30" s="273"/>
      <c r="B30" s="274"/>
      <c r="C30" s="280" t="s">
        <v>177</v>
      </c>
      <c r="D30" s="280"/>
      <c r="E30" s="278"/>
    </row>
    <row r="31" spans="1:5" x14ac:dyDescent="0.25">
      <c r="A31" s="273"/>
      <c r="B31" s="274"/>
      <c r="C31" s="280"/>
      <c r="D31" s="288" t="s">
        <v>247</v>
      </c>
      <c r="E31" s="284" t="s">
        <v>105</v>
      </c>
    </row>
    <row r="32" spans="1:5" ht="45" x14ac:dyDescent="0.25">
      <c r="A32" s="273"/>
      <c r="B32" s="274"/>
      <c r="C32" s="275"/>
      <c r="D32" s="269"/>
      <c r="E32" s="285" t="s">
        <v>201</v>
      </c>
    </row>
    <row r="33" spans="1:8" x14ac:dyDescent="0.25">
      <c r="A33" s="273"/>
      <c r="B33" s="274"/>
      <c r="C33" s="275"/>
      <c r="D33" s="288" t="s">
        <v>247</v>
      </c>
      <c r="E33" s="286" t="s">
        <v>223</v>
      </c>
    </row>
    <row r="34" spans="1:8" x14ac:dyDescent="0.25">
      <c r="A34" s="273"/>
      <c r="B34" s="274"/>
      <c r="C34" s="275"/>
      <c r="D34" s="288" t="s">
        <v>247</v>
      </c>
      <c r="E34" s="286" t="s">
        <v>221</v>
      </c>
    </row>
    <row r="35" spans="1:8" x14ac:dyDescent="0.25">
      <c r="A35" s="273"/>
      <c r="B35" s="274"/>
      <c r="C35" s="275"/>
      <c r="D35" s="288" t="s">
        <v>247</v>
      </c>
      <c r="E35" s="286" t="s">
        <v>222</v>
      </c>
    </row>
    <row r="36" spans="1:8" x14ac:dyDescent="0.25">
      <c r="A36" s="273"/>
      <c r="B36" s="274"/>
      <c r="C36" s="275"/>
      <c r="D36" s="288" t="s">
        <v>247</v>
      </c>
      <c r="E36" s="289" t="s">
        <v>224</v>
      </c>
      <c r="F36" s="99"/>
      <c r="G36" s="4"/>
      <c r="H36" s="4"/>
    </row>
    <row r="37" spans="1:8" x14ac:dyDescent="0.25">
      <c r="A37" s="273"/>
      <c r="B37" s="274"/>
      <c r="C37" s="275"/>
      <c r="D37" s="288" t="s">
        <v>247</v>
      </c>
      <c r="E37" s="289" t="s">
        <v>225</v>
      </c>
      <c r="F37" s="98"/>
      <c r="G37" s="98"/>
      <c r="H37" s="98"/>
    </row>
    <row r="38" spans="1:8" x14ac:dyDescent="0.25">
      <c r="A38" s="273"/>
      <c r="B38" s="274"/>
      <c r="C38" s="275"/>
      <c r="D38" s="275"/>
      <c r="E38" s="276"/>
    </row>
    <row r="39" spans="1:8" x14ac:dyDescent="0.25">
      <c r="A39" s="310" t="s">
        <v>179</v>
      </c>
      <c r="B39" s="311"/>
      <c r="C39" s="311"/>
      <c r="D39" s="311"/>
      <c r="E39" s="276"/>
    </row>
    <row r="40" spans="1:8" x14ac:dyDescent="0.25">
      <c r="A40" s="273"/>
      <c r="B40" s="290" t="s">
        <v>241</v>
      </c>
      <c r="C40" s="275"/>
      <c r="D40" s="275"/>
      <c r="E40" s="276"/>
    </row>
    <row r="41" spans="1:8" x14ac:dyDescent="0.25">
      <c r="A41" s="273"/>
      <c r="B41" s="274"/>
      <c r="C41" s="275"/>
      <c r="D41" s="291" t="s">
        <v>226</v>
      </c>
      <c r="E41" s="292" t="s">
        <v>242</v>
      </c>
    </row>
    <row r="42" spans="1:8" x14ac:dyDescent="0.25">
      <c r="A42" s="273"/>
      <c r="B42" s="274"/>
      <c r="C42" s="275"/>
      <c r="D42" s="291" t="s">
        <v>227</v>
      </c>
      <c r="E42" s="276" t="s">
        <v>149</v>
      </c>
    </row>
    <row r="43" spans="1:8" x14ac:dyDescent="0.25">
      <c r="A43" s="273"/>
      <c r="B43" s="274"/>
      <c r="C43" s="275"/>
      <c r="D43" s="291" t="s">
        <v>228</v>
      </c>
      <c r="E43" s="276" t="s">
        <v>150</v>
      </c>
    </row>
    <row r="44" spans="1:8" x14ac:dyDescent="0.25">
      <c r="A44" s="273"/>
      <c r="B44" s="274"/>
      <c r="C44" s="275"/>
      <c r="D44" s="291" t="s">
        <v>121</v>
      </c>
      <c r="E44" s="276" t="s">
        <v>232</v>
      </c>
    </row>
    <row r="45" spans="1:8" x14ac:dyDescent="0.25">
      <c r="A45" s="273"/>
      <c r="B45" s="274"/>
      <c r="C45" s="275"/>
      <c r="D45" s="291" t="s">
        <v>229</v>
      </c>
      <c r="E45" s="276" t="s">
        <v>79</v>
      </c>
    </row>
    <row r="46" spans="1:8" x14ac:dyDescent="0.25">
      <c r="A46" s="273"/>
      <c r="B46" s="274"/>
      <c r="C46" s="275"/>
      <c r="D46" s="291" t="s">
        <v>230</v>
      </c>
      <c r="E46" s="276" t="s">
        <v>80</v>
      </c>
    </row>
    <row r="47" spans="1:8" x14ac:dyDescent="0.25">
      <c r="A47" s="273"/>
      <c r="B47" s="274"/>
      <c r="C47" s="275"/>
      <c r="D47" s="291" t="s">
        <v>231</v>
      </c>
      <c r="E47" s="276" t="s">
        <v>81</v>
      </c>
    </row>
    <row r="48" spans="1:8" x14ac:dyDescent="0.25">
      <c r="A48" s="273"/>
      <c r="B48" s="274"/>
      <c r="C48" s="275"/>
      <c r="D48" s="291" t="s">
        <v>129</v>
      </c>
      <c r="E48" s="276" t="s">
        <v>233</v>
      </c>
    </row>
    <row r="49" spans="1:5" x14ac:dyDescent="0.25">
      <c r="A49" s="273"/>
      <c r="B49" s="274"/>
      <c r="C49" s="275"/>
      <c r="D49" s="275"/>
      <c r="E49" s="276"/>
    </row>
    <row r="50" spans="1:5" x14ac:dyDescent="0.25">
      <c r="A50" s="273"/>
      <c r="B50" s="274"/>
      <c r="C50" s="275"/>
      <c r="D50" s="275" t="s">
        <v>169</v>
      </c>
      <c r="E50" s="276"/>
    </row>
    <row r="51" spans="1:5" x14ac:dyDescent="0.25">
      <c r="A51" s="273"/>
      <c r="B51" s="274"/>
      <c r="C51" s="275"/>
      <c r="D51" s="288" t="s">
        <v>247</v>
      </c>
      <c r="E51" s="278" t="s">
        <v>168</v>
      </c>
    </row>
    <row r="52" spans="1:5" x14ac:dyDescent="0.25">
      <c r="A52" s="273"/>
      <c r="B52" s="274"/>
      <c r="C52" s="275"/>
      <c r="D52" s="288" t="s">
        <v>247</v>
      </c>
      <c r="E52" s="293" t="s">
        <v>154</v>
      </c>
    </row>
    <row r="53" spans="1:5" x14ac:dyDescent="0.25">
      <c r="A53" s="273"/>
      <c r="B53" s="274"/>
      <c r="C53" s="275"/>
      <c r="D53" s="269"/>
      <c r="E53" s="294" t="s">
        <v>180</v>
      </c>
    </row>
    <row r="54" spans="1:5" x14ac:dyDescent="0.25">
      <c r="A54" s="273"/>
      <c r="B54" s="274"/>
      <c r="C54" s="275"/>
      <c r="D54" s="269"/>
      <c r="E54" s="294" t="s">
        <v>181</v>
      </c>
    </row>
    <row r="55" spans="1:5" x14ac:dyDescent="0.25">
      <c r="A55" s="273"/>
      <c r="B55" s="274"/>
      <c r="C55" s="275"/>
      <c r="D55" s="269"/>
      <c r="E55" s="294" t="s">
        <v>182</v>
      </c>
    </row>
    <row r="56" spans="1:5" x14ac:dyDescent="0.25">
      <c r="A56" s="273"/>
      <c r="B56" s="274"/>
      <c r="C56" s="275"/>
      <c r="D56" s="269"/>
      <c r="E56" s="294" t="s">
        <v>183</v>
      </c>
    </row>
    <row r="57" spans="1:5" x14ac:dyDescent="0.25">
      <c r="A57" s="273"/>
      <c r="B57" s="274"/>
      <c r="C57" s="275"/>
      <c r="D57" s="269"/>
      <c r="E57" s="294" t="s">
        <v>184</v>
      </c>
    </row>
    <row r="58" spans="1:5" x14ac:dyDescent="0.25">
      <c r="A58" s="273"/>
      <c r="B58" s="274"/>
      <c r="C58" s="275"/>
      <c r="D58" s="269"/>
      <c r="E58" s="295" t="s">
        <v>185</v>
      </c>
    </row>
    <row r="59" spans="1:5" x14ac:dyDescent="0.25">
      <c r="A59" s="273"/>
      <c r="B59" s="274"/>
      <c r="C59" s="275"/>
      <c r="D59" s="288" t="s">
        <v>247</v>
      </c>
      <c r="E59" s="276" t="s">
        <v>220</v>
      </c>
    </row>
    <row r="60" spans="1:5" x14ac:dyDescent="0.25">
      <c r="A60" s="273"/>
      <c r="B60" s="274"/>
      <c r="C60" s="275"/>
      <c r="D60" s="288" t="s">
        <v>247</v>
      </c>
      <c r="E60" s="276" t="s">
        <v>186</v>
      </c>
    </row>
    <row r="61" spans="1:5" x14ac:dyDescent="0.25">
      <c r="A61" s="273"/>
      <c r="B61" s="274"/>
      <c r="C61" s="275"/>
      <c r="D61" s="296" t="s">
        <v>247</v>
      </c>
      <c r="E61" s="276" t="s">
        <v>198</v>
      </c>
    </row>
    <row r="62" spans="1:5" x14ac:dyDescent="0.25">
      <c r="A62" s="273"/>
      <c r="B62" s="274"/>
      <c r="C62" s="275"/>
      <c r="D62" s="275"/>
      <c r="E62" s="276"/>
    </row>
    <row r="63" spans="1:5" x14ac:dyDescent="0.25">
      <c r="A63" s="305" t="s">
        <v>187</v>
      </c>
      <c r="B63" s="306"/>
      <c r="C63" s="306"/>
      <c r="D63" s="306"/>
      <c r="E63" s="276"/>
    </row>
    <row r="64" spans="1:5" s="5" customFormat="1" ht="16.5" customHeight="1" x14ac:dyDescent="0.25">
      <c r="A64" s="297"/>
      <c r="B64" s="274"/>
      <c r="C64" s="274"/>
      <c r="D64" s="288" t="s">
        <v>247</v>
      </c>
      <c r="E64" s="298" t="s">
        <v>200</v>
      </c>
    </row>
    <row r="65" spans="1:5" s="5" customFormat="1" ht="18.75" customHeight="1" x14ac:dyDescent="0.25">
      <c r="A65" s="297"/>
      <c r="B65" s="274"/>
      <c r="C65" s="274"/>
      <c r="D65" s="288" t="s">
        <v>247</v>
      </c>
      <c r="E65" s="298" t="s">
        <v>207</v>
      </c>
    </row>
    <row r="66" spans="1:5" s="5" customFormat="1" ht="50.25" customHeight="1" x14ac:dyDescent="0.25">
      <c r="A66" s="297"/>
      <c r="B66" s="274"/>
      <c r="C66" s="274"/>
      <c r="D66" s="288" t="s">
        <v>247</v>
      </c>
      <c r="E66" s="299" t="s">
        <v>190</v>
      </c>
    </row>
    <row r="67" spans="1:5" s="5" customFormat="1" ht="33.75" customHeight="1" x14ac:dyDescent="0.25">
      <c r="A67" s="297"/>
      <c r="B67" s="274"/>
      <c r="C67" s="274"/>
      <c r="D67" s="288" t="s">
        <v>247</v>
      </c>
      <c r="E67" s="298" t="s">
        <v>189</v>
      </c>
    </row>
    <row r="68" spans="1:5" s="5" customFormat="1" ht="63.75" customHeight="1" x14ac:dyDescent="0.25">
      <c r="A68" s="297"/>
      <c r="B68" s="274"/>
      <c r="C68" s="274"/>
      <c r="D68" s="288" t="s">
        <v>247</v>
      </c>
      <c r="E68" s="299" t="s">
        <v>203</v>
      </c>
    </row>
    <row r="69" spans="1:5" s="5" customFormat="1" ht="48" customHeight="1" x14ac:dyDescent="0.25">
      <c r="A69" s="297"/>
      <c r="B69" s="274"/>
      <c r="C69" s="274"/>
      <c r="D69" s="288" t="s">
        <v>247</v>
      </c>
      <c r="E69" s="298" t="s">
        <v>188</v>
      </c>
    </row>
    <row r="70" spans="1:5" ht="32.25" customHeight="1" x14ac:dyDescent="0.25">
      <c r="A70" s="300"/>
      <c r="B70" s="301"/>
      <c r="C70" s="302"/>
      <c r="D70" s="303" t="s">
        <v>247</v>
      </c>
      <c r="E70" s="304" t="s">
        <v>193</v>
      </c>
    </row>
    <row r="71" spans="1:5" x14ac:dyDescent="0.25">
      <c r="A71" s="125"/>
      <c r="B71" s="268"/>
      <c r="C71" s="125"/>
      <c r="D71" s="125"/>
      <c r="E71" s="272"/>
    </row>
    <row r="72" spans="1:5" x14ac:dyDescent="0.25">
      <c r="A72" s="125"/>
      <c r="B72" s="268"/>
      <c r="C72" s="125"/>
      <c r="D72" s="125"/>
      <c r="E72" s="272"/>
    </row>
    <row r="73" spans="1:5" x14ac:dyDescent="0.25">
      <c r="E73" s="6"/>
    </row>
    <row r="74" spans="1:5" x14ac:dyDescent="0.25">
      <c r="E74" s="6"/>
    </row>
  </sheetData>
  <sheetProtection algorithmName="SHA-512" hashValue="oH/z2bQMeOw5zS22F9W7gFEgW69Qg3UL4ota02z1yzKsCQelptGgHoDHEbVUy9ht+EzIt4BZcE5HbCn7RcC/Fg==" saltValue="nnsaw9yuXlsqDrW870KDOA==" spinCount="100000" sheet="1" objects="1" scenarios="1" selectLockedCells="1" selectUnlockedCells="1"/>
  <sortState xmlns:xlrd2="http://schemas.microsoft.com/office/spreadsheetml/2017/richdata2" ref="E65:E70">
    <sortCondition ref="E64"/>
  </sortState>
  <mergeCells count="6">
    <mergeCell ref="A63:D63"/>
    <mergeCell ref="A1:E1"/>
    <mergeCell ref="A4:D4"/>
    <mergeCell ref="A9:D9"/>
    <mergeCell ref="B13:D13"/>
    <mergeCell ref="A39:D39"/>
  </mergeCells>
  <hyperlinks>
    <hyperlink ref="E66" r:id="rId1" display="http://www.greateratlantic.fisheries.noaa.gov/protected/section7/guidance/consultation/index.html" xr:uid="{16CA17B3-DAF6-43DE-AB8D-6031A262E73B}"/>
    <hyperlink ref="E68" r:id="rId2" display="https://www.fisheries.noaa.gov/resource/document/technical-guidance-assessing-effects-anthropogenic-sound-marine-mammal" xr:uid="{4B87EBE1-3980-47A3-9730-5C35593AF631}"/>
  </hyperlinks>
  <pageMargins left="0.7" right="0.7" top="0.75" bottom="0.75" header="0.3" footer="0.3"/>
  <pageSetup scale="5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C643-376E-416D-89BA-7630AAE604A2}">
  <sheetPr>
    <pageSetUpPr fitToPage="1"/>
  </sheetPr>
  <dimension ref="A1:X55"/>
  <sheetViews>
    <sheetView showGridLines="0" zoomScaleNormal="100" workbookViewId="0">
      <selection activeCell="I28" sqref="I28"/>
    </sheetView>
  </sheetViews>
  <sheetFormatPr defaultColWidth="9.140625" defaultRowHeight="15" x14ac:dyDescent="0.25"/>
  <cols>
    <col min="1" max="1" width="15.140625" style="129" customWidth="1"/>
    <col min="2" max="6" width="12" style="129" customWidth="1"/>
    <col min="7" max="20" width="10.5703125" style="122" customWidth="1"/>
    <col min="21" max="16384" width="9.140625" style="122"/>
  </cols>
  <sheetData>
    <row r="1" spans="1:24"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4" ht="15" customHeight="1" x14ac:dyDescent="0.25">
      <c r="A2" s="123"/>
      <c r="B2" s="123"/>
      <c r="C2" s="123"/>
      <c r="D2" s="123"/>
      <c r="E2" s="121"/>
      <c r="F2" s="123"/>
      <c r="G2" s="123"/>
      <c r="H2" s="123"/>
      <c r="I2" s="123"/>
    </row>
    <row r="3" spans="1:24" ht="15" customHeight="1" x14ac:dyDescent="0.25">
      <c r="A3" s="348" t="s">
        <v>93</v>
      </c>
      <c r="B3" s="351" t="s">
        <v>103</v>
      </c>
      <c r="C3" s="352"/>
      <c r="D3" s="352"/>
      <c r="E3" s="353"/>
      <c r="F3" s="124" t="s">
        <v>206</v>
      </c>
      <c r="H3" s="125"/>
      <c r="I3" s="125"/>
      <c r="J3" s="125"/>
      <c r="K3" s="125"/>
      <c r="L3" s="125"/>
      <c r="M3" s="125"/>
      <c r="N3" s="125"/>
      <c r="O3" s="125"/>
      <c r="P3" s="125"/>
      <c r="Q3" s="125"/>
      <c r="R3" s="125"/>
      <c r="S3" s="125"/>
      <c r="T3" s="125"/>
      <c r="U3" s="125"/>
      <c r="V3" s="125"/>
      <c r="W3" s="125"/>
    </row>
    <row r="4" spans="1:24" ht="15" customHeight="1" x14ac:dyDescent="0.25">
      <c r="A4" s="348"/>
      <c r="B4" s="348" t="s">
        <v>76</v>
      </c>
      <c r="C4" s="348"/>
      <c r="D4" s="348" t="s">
        <v>77</v>
      </c>
      <c r="E4" s="348"/>
      <c r="F4" s="126" t="s">
        <v>75</v>
      </c>
      <c r="H4" s="125"/>
      <c r="I4" s="125"/>
      <c r="J4" s="125"/>
      <c r="K4" s="125"/>
      <c r="L4" s="125"/>
      <c r="M4" s="125"/>
      <c r="N4" s="125"/>
      <c r="O4" s="125"/>
      <c r="P4" s="125"/>
      <c r="Q4" s="125"/>
      <c r="R4" s="125"/>
      <c r="S4" s="125"/>
      <c r="T4" s="125"/>
      <c r="U4" s="125"/>
      <c r="V4" s="125"/>
      <c r="W4" s="125"/>
    </row>
    <row r="5" spans="1:24" x14ac:dyDescent="0.25">
      <c r="A5" s="348"/>
      <c r="B5" s="126" t="s">
        <v>143</v>
      </c>
      <c r="C5" s="126" t="s">
        <v>144</v>
      </c>
      <c r="D5" s="126" t="s">
        <v>145</v>
      </c>
      <c r="E5" s="126" t="s">
        <v>96</v>
      </c>
      <c r="F5" s="126" t="s">
        <v>97</v>
      </c>
      <c r="H5" s="125"/>
      <c r="I5" s="125"/>
      <c r="J5" s="125"/>
      <c r="K5" s="125"/>
      <c r="L5" s="125"/>
      <c r="M5" s="125"/>
      <c r="N5" s="125"/>
      <c r="O5" s="125"/>
      <c r="P5" s="125"/>
      <c r="Q5" s="125"/>
      <c r="R5" s="125"/>
      <c r="S5" s="125"/>
      <c r="T5" s="125"/>
      <c r="U5" s="125"/>
      <c r="V5" s="125"/>
      <c r="W5" s="125"/>
    </row>
    <row r="6" spans="1:24" ht="25.5" x14ac:dyDescent="0.25">
      <c r="A6" s="348"/>
      <c r="B6" s="126" t="s">
        <v>146</v>
      </c>
      <c r="C6" s="126" t="s">
        <v>78</v>
      </c>
      <c r="D6" s="126" t="s">
        <v>147</v>
      </c>
      <c r="E6" s="126" t="s">
        <v>78</v>
      </c>
      <c r="F6" s="126" t="s">
        <v>78</v>
      </c>
      <c r="H6" s="125"/>
      <c r="I6" s="125"/>
      <c r="J6" s="125"/>
      <c r="K6" s="125"/>
      <c r="L6" s="125"/>
      <c r="M6" s="125"/>
      <c r="N6" s="125"/>
      <c r="O6" s="125"/>
      <c r="P6" s="125"/>
      <c r="Q6" s="125"/>
      <c r="R6" s="125"/>
      <c r="S6" s="125"/>
      <c r="T6" s="125"/>
      <c r="U6" s="125"/>
      <c r="V6" s="125"/>
      <c r="W6" s="125"/>
    </row>
    <row r="7" spans="1:24" ht="25.5" x14ac:dyDescent="0.25">
      <c r="A7" s="127" t="s">
        <v>174</v>
      </c>
      <c r="B7" s="128">
        <v>185</v>
      </c>
      <c r="C7" s="128">
        <v>218</v>
      </c>
      <c r="D7" s="128">
        <v>170</v>
      </c>
      <c r="E7" s="128">
        <v>212</v>
      </c>
      <c r="F7" s="128">
        <v>160</v>
      </c>
      <c r="H7" s="125"/>
      <c r="I7" s="125"/>
      <c r="J7" s="125"/>
      <c r="K7" s="125"/>
      <c r="L7" s="125"/>
      <c r="M7" s="125"/>
      <c r="N7" s="125"/>
      <c r="O7" s="125"/>
      <c r="P7" s="125"/>
      <c r="Q7" s="125"/>
      <c r="R7" s="125"/>
      <c r="S7" s="125"/>
      <c r="T7" s="125"/>
      <c r="U7" s="125"/>
      <c r="V7" s="125"/>
      <c r="W7" s="125"/>
    </row>
    <row r="8" spans="1:24" ht="15.75" thickBot="1" x14ac:dyDescent="0.3">
      <c r="H8" s="125"/>
      <c r="I8" s="125"/>
      <c r="J8" s="125"/>
      <c r="K8" s="125"/>
      <c r="L8" s="125"/>
      <c r="M8" s="125"/>
      <c r="N8" s="125"/>
      <c r="O8" s="125"/>
      <c r="P8" s="125"/>
      <c r="Q8" s="125"/>
      <c r="R8" s="125"/>
      <c r="S8" s="125"/>
      <c r="T8" s="125"/>
      <c r="U8" s="125"/>
      <c r="V8" s="125"/>
      <c r="W8" s="125"/>
      <c r="X8" s="125"/>
    </row>
    <row r="9" spans="1:24" ht="15.75" thickBot="1" x14ac:dyDescent="0.3">
      <c r="A9" s="345" t="s">
        <v>111</v>
      </c>
      <c r="B9" s="346"/>
      <c r="C9" s="346"/>
      <c r="D9" s="346"/>
      <c r="E9" s="346"/>
      <c r="F9" s="347"/>
      <c r="H9" s="125"/>
      <c r="I9" s="125"/>
      <c r="J9" s="125"/>
      <c r="K9" s="125"/>
      <c r="L9" s="125"/>
      <c r="M9" s="125"/>
      <c r="N9" s="125"/>
      <c r="O9" s="125"/>
      <c r="P9" s="125"/>
      <c r="Q9" s="125"/>
      <c r="R9" s="125"/>
      <c r="S9" s="125"/>
      <c r="T9" s="125"/>
      <c r="U9" s="125"/>
      <c r="V9" s="125"/>
      <c r="W9" s="125"/>
      <c r="X9" s="125"/>
    </row>
    <row r="10" spans="1:24" ht="25.5" x14ac:dyDescent="0.25">
      <c r="A10" s="130" t="s">
        <v>174</v>
      </c>
      <c r="B10" s="106">
        <f>IF(Calcs!AZ52&gt;5000,"&gt; 5000",IF(Calcs!AZ52&lt;Calcs!$B$11/2,0,Calcs!AZ52))</f>
        <v>1322.6223360317454</v>
      </c>
      <c r="C10" s="106">
        <f>IF(Calcs!BC52&gt;5000,"&gt; 5000",IF(Calcs!BC52&lt;Calcs!$B$11/2,0,Calcs!BC52))</f>
        <v>12.054657626609085</v>
      </c>
      <c r="D10" s="106" t="str">
        <f>IF(Calcs!BB52&gt;5000,"&gt; 5000",IF(Calcs!BB52&lt;Calcs!$B$11/2,0,Calcs!BB52))</f>
        <v>&gt; 5000</v>
      </c>
      <c r="E10" s="106">
        <f>IF(Calcs!BD52&gt;5000,"&gt; 5000",IF(Calcs!BD52&lt;Calcs!$B$11/2,0,Calcs!BD52))</f>
        <v>37.756043096898011</v>
      </c>
      <c r="F10" s="106" t="str">
        <f>IF(Calcs!BE52&gt;5000,"&gt; 5000",IF(Calcs!BE52&lt;Calcs!$B$11/2,0,Calcs!BE52))</f>
        <v>&gt; 5000</v>
      </c>
      <c r="G10" s="131"/>
      <c r="H10" s="125"/>
      <c r="I10" s="125"/>
      <c r="J10" s="125"/>
      <c r="K10" s="125"/>
      <c r="L10" s="125"/>
      <c r="M10" s="125"/>
      <c r="N10" s="125"/>
      <c r="O10" s="125"/>
      <c r="X10" s="125"/>
    </row>
    <row r="11" spans="1:24" x14ac:dyDescent="0.25">
      <c r="H11" s="125"/>
      <c r="I11" s="125"/>
      <c r="J11" s="125"/>
      <c r="K11" s="125"/>
      <c r="L11" s="125"/>
      <c r="M11" s="125"/>
      <c r="N11" s="125"/>
      <c r="O11" s="125"/>
      <c r="X11" s="125"/>
    </row>
    <row r="12" spans="1:24" x14ac:dyDescent="0.25">
      <c r="H12" s="125"/>
      <c r="I12" s="125"/>
      <c r="J12" s="125"/>
      <c r="K12" s="125"/>
      <c r="L12" s="125"/>
      <c r="M12" s="125"/>
      <c r="N12" s="125"/>
      <c r="O12" s="125"/>
      <c r="X12" s="125"/>
    </row>
    <row r="13" spans="1:24" x14ac:dyDescent="0.25">
      <c r="A13" s="132"/>
      <c r="B13" s="132">
        <v>185</v>
      </c>
      <c r="C13" s="132">
        <v>218</v>
      </c>
      <c r="D13" s="132">
        <v>170</v>
      </c>
      <c r="E13" s="132">
        <v>212</v>
      </c>
      <c r="F13" s="132">
        <v>160</v>
      </c>
      <c r="H13" s="125"/>
      <c r="I13" s="125"/>
      <c r="J13" s="125"/>
      <c r="K13" s="125"/>
      <c r="L13" s="125"/>
      <c r="M13" s="125"/>
      <c r="N13" s="125"/>
      <c r="O13" s="125"/>
      <c r="X13" s="125"/>
    </row>
    <row r="14" spans="1:24" x14ac:dyDescent="0.25">
      <c r="A14" s="132">
        <v>1</v>
      </c>
      <c r="B14" s="132">
        <v>185</v>
      </c>
      <c r="C14" s="132">
        <v>218</v>
      </c>
      <c r="D14" s="132">
        <v>170</v>
      </c>
      <c r="E14" s="132">
        <v>212</v>
      </c>
      <c r="F14" s="132">
        <v>160</v>
      </c>
      <c r="G14" s="133"/>
      <c r="H14" s="133"/>
      <c r="I14" s="133"/>
      <c r="J14" s="125"/>
      <c r="K14" s="125"/>
      <c r="L14" s="125"/>
      <c r="M14" s="125"/>
      <c r="N14" s="125"/>
      <c r="O14" s="125"/>
      <c r="X14" s="125"/>
    </row>
    <row r="15" spans="1:24" x14ac:dyDescent="0.25">
      <c r="A15" s="132">
        <v>5000</v>
      </c>
      <c r="B15" s="132">
        <v>185</v>
      </c>
      <c r="C15" s="132">
        <v>218</v>
      </c>
      <c r="D15" s="132">
        <v>170</v>
      </c>
      <c r="E15" s="132">
        <v>212</v>
      </c>
      <c r="F15" s="132">
        <v>160</v>
      </c>
      <c r="G15" s="133"/>
      <c r="H15" s="133"/>
      <c r="I15" s="133"/>
      <c r="J15" s="125"/>
      <c r="K15" s="125"/>
      <c r="L15" s="125"/>
      <c r="M15" s="125"/>
      <c r="N15" s="125"/>
      <c r="O15" s="125"/>
      <c r="X15" s="125"/>
    </row>
    <row r="16" spans="1:24" x14ac:dyDescent="0.25">
      <c r="A16" s="132"/>
      <c r="B16" s="132"/>
      <c r="C16" s="132"/>
      <c r="D16" s="132"/>
      <c r="E16" s="132"/>
      <c r="F16" s="132"/>
      <c r="G16" s="133"/>
      <c r="H16" s="133"/>
      <c r="I16" s="133"/>
      <c r="J16" s="125"/>
      <c r="K16" s="125"/>
      <c r="L16" s="125"/>
      <c r="M16" s="125"/>
      <c r="N16" s="125"/>
      <c r="O16" s="125"/>
    </row>
    <row r="17" spans="1:23" x14ac:dyDescent="0.25">
      <c r="A17" s="134"/>
      <c r="B17" s="134"/>
      <c r="C17" s="134"/>
      <c r="D17" s="134"/>
      <c r="E17" s="134"/>
      <c r="F17" s="134"/>
      <c r="G17" s="133"/>
      <c r="H17" s="133"/>
      <c r="I17" s="133"/>
      <c r="J17" s="125"/>
      <c r="K17" s="125"/>
      <c r="L17" s="125"/>
      <c r="M17" s="125"/>
      <c r="N17" s="125"/>
      <c r="O17" s="125"/>
      <c r="P17" s="135"/>
      <c r="Q17" s="125"/>
      <c r="R17" s="125"/>
      <c r="S17" s="125"/>
      <c r="T17" s="125"/>
      <c r="U17" s="125"/>
      <c r="V17" s="125"/>
      <c r="W17" s="125"/>
    </row>
    <row r="18" spans="1:23" x14ac:dyDescent="0.25">
      <c r="A18" s="136"/>
      <c r="B18" s="136"/>
      <c r="C18" s="136"/>
      <c r="D18" s="136"/>
      <c r="E18" s="136"/>
      <c r="F18" s="136"/>
      <c r="G18" s="133"/>
      <c r="H18" s="133"/>
      <c r="I18" s="133"/>
    </row>
    <row r="19" spans="1:23" ht="15.75" thickBot="1" x14ac:dyDescent="0.3">
      <c r="A19" s="137" t="s">
        <v>172</v>
      </c>
      <c r="B19" s="138"/>
      <c r="C19" s="138"/>
      <c r="D19" s="121"/>
      <c r="E19" s="121"/>
      <c r="F19" s="121"/>
    </row>
    <row r="20" spans="1:23" ht="15.75" thickBot="1" x14ac:dyDescent="0.3">
      <c r="A20" s="139" t="s">
        <v>73</v>
      </c>
      <c r="B20" s="140" t="s">
        <v>72</v>
      </c>
      <c r="C20" s="141" t="s">
        <v>70</v>
      </c>
    </row>
    <row r="21" spans="1:23" x14ac:dyDescent="0.25">
      <c r="A21" s="107" t="s">
        <v>2</v>
      </c>
      <c r="B21" s="100">
        <f>Calcs!B$7</f>
        <v>29</v>
      </c>
      <c r="C21" s="108" t="s">
        <v>3</v>
      </c>
      <c r="D21" s="142"/>
      <c r="J21" s="125"/>
      <c r="K21" s="125"/>
      <c r="L21" s="125"/>
      <c r="M21" s="125"/>
      <c r="N21" s="125"/>
      <c r="O21" s="125"/>
      <c r="P21" s="125"/>
      <c r="Q21" s="125"/>
      <c r="R21" s="125"/>
      <c r="S21" s="125"/>
      <c r="T21" s="125"/>
      <c r="U21" s="125"/>
      <c r="V21" s="125"/>
      <c r="W21" s="125"/>
    </row>
    <row r="22" spans="1:23" ht="18" x14ac:dyDescent="0.25">
      <c r="A22" s="109" t="s">
        <v>106</v>
      </c>
      <c r="B22" s="101">
        <f>Calcs!B$8</f>
        <v>179</v>
      </c>
      <c r="C22" s="110" t="s">
        <v>10</v>
      </c>
      <c r="D22" s="143"/>
      <c r="H22" s="125"/>
      <c r="I22" s="125"/>
      <c r="J22" s="125"/>
      <c r="K22" s="125"/>
      <c r="L22" s="125"/>
      <c r="M22" s="125"/>
      <c r="N22" s="125"/>
      <c r="O22" s="125"/>
      <c r="P22" s="125"/>
      <c r="Q22" s="125"/>
      <c r="R22" s="125"/>
      <c r="S22" s="125"/>
      <c r="T22" s="125"/>
      <c r="U22" s="125"/>
      <c r="V22" s="125"/>
      <c r="W22" s="125"/>
    </row>
    <row r="23" spans="1:23" x14ac:dyDescent="0.25">
      <c r="A23" s="109" t="s">
        <v>16</v>
      </c>
      <c r="B23" s="101">
        <f>Calcs!B$9</f>
        <v>234</v>
      </c>
      <c r="C23" s="110" t="s">
        <v>9</v>
      </c>
      <c r="D23" s="144"/>
      <c r="H23" s="125"/>
      <c r="I23" s="125"/>
      <c r="J23" s="125"/>
      <c r="K23" s="125"/>
      <c r="L23" s="125"/>
      <c r="M23" s="125"/>
      <c r="N23" s="125"/>
      <c r="O23" s="125"/>
      <c r="P23" s="125"/>
      <c r="Q23" s="125"/>
      <c r="R23" s="125"/>
      <c r="S23" s="125"/>
      <c r="T23" s="125"/>
      <c r="U23" s="125"/>
      <c r="V23" s="125"/>
      <c r="W23" s="125"/>
    </row>
    <row r="24" spans="1:23" x14ac:dyDescent="0.25">
      <c r="A24" s="111" t="s">
        <v>108</v>
      </c>
      <c r="B24" s="101">
        <f>Calcs!B$10</f>
        <v>50</v>
      </c>
      <c r="C24" s="112" t="s">
        <v>165</v>
      </c>
      <c r="D24" s="144"/>
      <c r="H24" s="125"/>
      <c r="I24" s="125"/>
      <c r="J24" s="125"/>
      <c r="K24" s="125"/>
      <c r="L24" s="125"/>
      <c r="M24" s="125"/>
      <c r="N24" s="125"/>
      <c r="O24" s="125"/>
      <c r="P24" s="125"/>
      <c r="Q24" s="125"/>
      <c r="R24" s="125"/>
      <c r="S24" s="125"/>
      <c r="T24" s="125"/>
      <c r="U24" s="125"/>
      <c r="V24" s="125"/>
      <c r="W24" s="125"/>
    </row>
    <row r="25" spans="1:23" ht="15.75" thickBot="1" x14ac:dyDescent="0.3">
      <c r="A25" s="113" t="s">
        <v>91</v>
      </c>
      <c r="B25" s="102">
        <f>Calcs!B$11</f>
        <v>6</v>
      </c>
      <c r="C25" s="114" t="s">
        <v>9</v>
      </c>
      <c r="D25" s="144"/>
      <c r="H25" s="125"/>
      <c r="I25" s="125"/>
      <c r="J25" s="125"/>
      <c r="K25" s="125"/>
      <c r="L25" s="125"/>
      <c r="M25" s="125"/>
      <c r="N25" s="125"/>
      <c r="O25" s="125"/>
      <c r="P25" s="125"/>
      <c r="Q25" s="125"/>
      <c r="R25" s="125"/>
      <c r="S25" s="125"/>
      <c r="T25" s="125"/>
      <c r="U25" s="125"/>
      <c r="V25" s="125"/>
      <c r="W25" s="125"/>
    </row>
    <row r="26" spans="1:23" x14ac:dyDescent="0.25">
      <c r="A26" s="115" t="s">
        <v>0</v>
      </c>
      <c r="B26" s="103">
        <f>Calcs!B$13</f>
        <v>1500</v>
      </c>
      <c r="C26" s="116" t="s">
        <v>1</v>
      </c>
      <c r="D26" s="145"/>
      <c r="H26" s="125"/>
      <c r="I26" s="125"/>
      <c r="J26" s="125"/>
      <c r="K26" s="125"/>
      <c r="L26" s="125"/>
      <c r="M26" s="125"/>
      <c r="N26" s="125"/>
      <c r="O26" s="125"/>
      <c r="P26" s="125"/>
      <c r="Q26" s="125"/>
      <c r="R26" s="125"/>
      <c r="S26" s="125"/>
      <c r="T26" s="125"/>
      <c r="U26" s="125"/>
      <c r="V26" s="125"/>
      <c r="W26" s="125"/>
    </row>
    <row r="27" spans="1:23" ht="17.25" x14ac:dyDescent="0.25">
      <c r="A27" s="117" t="s">
        <v>22</v>
      </c>
      <c r="B27" s="104">
        <f>Calcs!B$14</f>
        <v>1029</v>
      </c>
      <c r="C27" s="118" t="s">
        <v>166</v>
      </c>
      <c r="D27" s="146"/>
      <c r="H27" s="125"/>
      <c r="I27" s="125"/>
      <c r="J27" s="125"/>
      <c r="K27" s="125"/>
      <c r="L27" s="125"/>
      <c r="M27" s="125"/>
      <c r="N27" s="125"/>
      <c r="O27" s="125"/>
      <c r="P27" s="125"/>
      <c r="Q27" s="125"/>
      <c r="R27" s="125"/>
      <c r="S27" s="125"/>
      <c r="T27" s="125"/>
      <c r="U27" s="125"/>
      <c r="V27" s="125"/>
      <c r="W27" s="125"/>
    </row>
    <row r="28" spans="1:23" x14ac:dyDescent="0.25">
      <c r="A28" s="117" t="s">
        <v>104</v>
      </c>
      <c r="B28" s="104">
        <f>Calcs!B$15</f>
        <v>1.5</v>
      </c>
      <c r="C28" s="118" t="s">
        <v>4</v>
      </c>
      <c r="D28" s="146"/>
      <c r="H28" s="125"/>
      <c r="I28" s="125"/>
      <c r="J28" s="125"/>
      <c r="K28" s="125"/>
      <c r="L28" s="125"/>
      <c r="M28" s="125"/>
      <c r="N28" s="125"/>
      <c r="O28" s="125"/>
      <c r="P28" s="125"/>
      <c r="Q28" s="125"/>
      <c r="R28" s="125"/>
      <c r="S28" s="125"/>
      <c r="T28" s="125"/>
      <c r="U28" s="125"/>
      <c r="V28" s="125"/>
      <c r="W28" s="125"/>
    </row>
    <row r="29" spans="1:23" x14ac:dyDescent="0.25">
      <c r="A29" s="117" t="s">
        <v>5</v>
      </c>
      <c r="B29" s="104">
        <f>Calcs!B$16</f>
        <v>0.27829999999999999</v>
      </c>
      <c r="C29" s="118" t="s">
        <v>6</v>
      </c>
      <c r="D29" s="146"/>
      <c r="G29" s="131"/>
      <c r="H29" s="125"/>
      <c r="I29" s="125"/>
      <c r="J29" s="125"/>
      <c r="K29" s="125"/>
      <c r="L29" s="125"/>
      <c r="M29" s="125"/>
      <c r="N29" s="125"/>
      <c r="O29" s="125"/>
      <c r="P29" s="125"/>
      <c r="Q29" s="125"/>
      <c r="R29" s="125"/>
      <c r="S29" s="125"/>
      <c r="T29" s="125"/>
      <c r="U29" s="125"/>
      <c r="V29" s="125"/>
      <c r="W29" s="125"/>
    </row>
    <row r="30" spans="1:23" ht="15.75" thickBot="1" x14ac:dyDescent="0.3">
      <c r="A30" s="119" t="s">
        <v>11</v>
      </c>
      <c r="B30" s="105">
        <f>Calcs!B$17</f>
        <v>17</v>
      </c>
      <c r="C30" s="120" t="s">
        <v>12</v>
      </c>
      <c r="D30" s="146"/>
      <c r="H30" s="125"/>
      <c r="I30" s="125"/>
      <c r="J30" s="125"/>
      <c r="K30" s="125"/>
      <c r="L30" s="125"/>
      <c r="M30" s="125"/>
      <c r="N30" s="125"/>
      <c r="O30" s="125"/>
      <c r="P30" s="125"/>
      <c r="Q30" s="125"/>
      <c r="R30" s="125"/>
      <c r="S30" s="125"/>
      <c r="T30" s="125"/>
      <c r="U30" s="125"/>
      <c r="V30" s="125"/>
      <c r="W30" s="125"/>
    </row>
    <row r="31" spans="1:23" x14ac:dyDescent="0.25">
      <c r="B31" s="146"/>
      <c r="C31" s="146"/>
      <c r="D31" s="146"/>
      <c r="H31" s="125"/>
      <c r="I31" s="125"/>
      <c r="J31" s="125"/>
      <c r="K31" s="125"/>
      <c r="L31" s="125"/>
      <c r="M31" s="125"/>
      <c r="N31" s="125"/>
    </row>
    <row r="32" spans="1:23" x14ac:dyDescent="0.25">
      <c r="B32" s="147"/>
      <c r="C32" s="148"/>
      <c r="D32" s="149"/>
      <c r="H32" s="125"/>
      <c r="I32" s="125"/>
      <c r="J32" s="125"/>
      <c r="K32" s="125"/>
      <c r="L32" s="125"/>
      <c r="M32" s="125"/>
      <c r="N32" s="125"/>
    </row>
    <row r="33" spans="2:23" x14ac:dyDescent="0.25">
      <c r="B33" s="121"/>
      <c r="C33" s="121"/>
      <c r="D33" s="142"/>
      <c r="H33" s="125"/>
      <c r="I33" s="125"/>
      <c r="J33" s="125"/>
      <c r="K33" s="125"/>
      <c r="L33" s="125"/>
      <c r="M33" s="125"/>
      <c r="N33" s="125"/>
    </row>
    <row r="34" spans="2:23" x14ac:dyDescent="0.25">
      <c r="D34" s="121"/>
      <c r="H34" s="125"/>
      <c r="I34" s="125"/>
      <c r="J34" s="125"/>
      <c r="K34" s="125"/>
      <c r="L34" s="125"/>
      <c r="M34" s="125"/>
      <c r="N34" s="125"/>
    </row>
    <row r="35" spans="2:23" x14ac:dyDescent="0.25">
      <c r="H35" s="125"/>
      <c r="I35" s="125"/>
      <c r="J35" s="125"/>
      <c r="K35" s="125"/>
      <c r="L35" s="125"/>
      <c r="M35" s="125"/>
      <c r="N35" s="125"/>
    </row>
    <row r="36" spans="2:23" x14ac:dyDescent="0.25">
      <c r="H36" s="125"/>
      <c r="I36" s="125"/>
      <c r="J36" s="125"/>
      <c r="K36" s="125"/>
      <c r="L36" s="125"/>
      <c r="M36" s="125"/>
      <c r="N36" s="125"/>
    </row>
    <row r="37" spans="2:23" x14ac:dyDescent="0.25">
      <c r="H37" s="125"/>
      <c r="I37" s="125"/>
    </row>
    <row r="41" spans="2:23" x14ac:dyDescent="0.25">
      <c r="W41" s="125"/>
    </row>
    <row r="42" spans="2:23" x14ac:dyDescent="0.25">
      <c r="W42" s="125"/>
    </row>
    <row r="43" spans="2:23" x14ac:dyDescent="0.25">
      <c r="W43" s="125"/>
    </row>
    <row r="44" spans="2:23" x14ac:dyDescent="0.25">
      <c r="W44" s="125"/>
    </row>
    <row r="45" spans="2:23" x14ac:dyDescent="0.25">
      <c r="W45" s="125"/>
    </row>
    <row r="46" spans="2:23" ht="15.75" thickBot="1" x14ac:dyDescent="0.3">
      <c r="G46" s="150"/>
      <c r="H46" s="149"/>
      <c r="I46" s="149"/>
      <c r="J46" s="149"/>
      <c r="K46" s="149"/>
      <c r="L46" s="149"/>
      <c r="M46" s="149"/>
      <c r="N46" s="149"/>
      <c r="P46" s="125"/>
      <c r="Q46" s="125"/>
      <c r="R46" s="125"/>
      <c r="S46" s="125"/>
      <c r="T46" s="125"/>
      <c r="U46" s="125"/>
      <c r="V46" s="125"/>
    </row>
    <row r="47" spans="2:23" x14ac:dyDescent="0.25">
      <c r="G47" s="150"/>
      <c r="H47" s="151"/>
      <c r="I47" s="151"/>
      <c r="J47" s="149"/>
      <c r="K47" s="149"/>
      <c r="L47" s="149"/>
      <c r="M47" s="149"/>
      <c r="N47" s="149"/>
      <c r="P47" s="152" t="s">
        <v>173</v>
      </c>
      <c r="Q47" s="153"/>
      <c r="R47" s="153"/>
      <c r="S47" s="153"/>
      <c r="T47" s="153"/>
      <c r="U47" s="153"/>
      <c r="V47" s="154"/>
    </row>
    <row r="48" spans="2:23" x14ac:dyDescent="0.25">
      <c r="G48" s="150"/>
      <c r="H48" s="149"/>
      <c r="I48" s="149"/>
      <c r="J48" s="149"/>
      <c r="K48" s="149"/>
      <c r="L48" s="149"/>
      <c r="M48" s="149"/>
      <c r="N48" s="149"/>
      <c r="P48" s="333" t="s">
        <v>210</v>
      </c>
      <c r="Q48" s="334"/>
      <c r="R48" s="334"/>
      <c r="S48" s="334"/>
      <c r="T48" s="334"/>
      <c r="U48" s="334"/>
      <c r="V48" s="335"/>
    </row>
    <row r="49" spans="7:22" x14ac:dyDescent="0.25">
      <c r="G49" s="150"/>
      <c r="H49" s="149"/>
      <c r="I49" s="149"/>
      <c r="J49" s="149"/>
      <c r="K49" s="149"/>
      <c r="L49" s="149"/>
      <c r="M49" s="149"/>
      <c r="N49" s="149"/>
      <c r="P49" s="333"/>
      <c r="Q49" s="334"/>
      <c r="R49" s="334"/>
      <c r="S49" s="334"/>
      <c r="T49" s="334"/>
      <c r="U49" s="334"/>
      <c r="V49" s="335"/>
    </row>
    <row r="50" spans="7:22" x14ac:dyDescent="0.25">
      <c r="G50" s="150"/>
      <c r="H50" s="149"/>
      <c r="I50" s="149"/>
      <c r="J50" s="149"/>
      <c r="K50" s="149"/>
      <c r="L50" s="149"/>
      <c r="M50" s="149"/>
      <c r="N50" s="149"/>
      <c r="P50" s="155"/>
      <c r="Q50" s="156"/>
      <c r="R50" s="156"/>
      <c r="S50" s="156"/>
      <c r="T50" s="156"/>
      <c r="U50" s="156"/>
      <c r="V50" s="157"/>
    </row>
    <row r="51" spans="7:22" ht="15.75" thickBot="1" x14ac:dyDescent="0.3">
      <c r="G51" s="150"/>
      <c r="H51" s="151"/>
      <c r="I51" s="151"/>
      <c r="J51" s="149"/>
      <c r="K51" s="149"/>
      <c r="L51" s="149"/>
      <c r="M51" s="149"/>
      <c r="N51" s="149"/>
      <c r="P51" s="158"/>
      <c r="Q51" s="159"/>
      <c r="R51" s="159"/>
      <c r="S51" s="159"/>
      <c r="T51" s="159"/>
      <c r="U51" s="159"/>
      <c r="V51" s="160"/>
    </row>
    <row r="52" spans="7:22" x14ac:dyDescent="0.25">
      <c r="G52" s="150"/>
      <c r="H52" s="149"/>
      <c r="I52" s="149"/>
      <c r="J52" s="149"/>
      <c r="K52" s="149"/>
      <c r="L52" s="149"/>
      <c r="M52" s="149"/>
      <c r="N52" s="149"/>
    </row>
    <row r="53" spans="7:22" x14ac:dyDescent="0.25">
      <c r="G53" s="150"/>
      <c r="H53" s="149"/>
      <c r="I53" s="149"/>
      <c r="J53" s="149"/>
      <c r="K53" s="149"/>
      <c r="L53" s="149"/>
      <c r="M53" s="149"/>
      <c r="N53" s="149"/>
    </row>
    <row r="54" spans="7:22" x14ac:dyDescent="0.25">
      <c r="G54" s="150"/>
      <c r="H54" s="149"/>
      <c r="I54" s="149"/>
      <c r="J54" s="149"/>
      <c r="K54" s="149"/>
      <c r="L54" s="149"/>
      <c r="M54" s="149"/>
      <c r="N54" s="149"/>
    </row>
    <row r="55" spans="7:22" x14ac:dyDescent="0.25">
      <c r="G55" s="150"/>
      <c r="H55" s="150"/>
      <c r="I55" s="150"/>
      <c r="J55" s="150"/>
      <c r="K55" s="150"/>
      <c r="L55" s="150"/>
      <c r="M55" s="150"/>
      <c r="N55" s="150"/>
    </row>
  </sheetData>
  <sheetProtection algorithmName="SHA-512" hashValue="jyvYPskCCF3+U8AOhTkUIQqq6iyQ/hIVX2e+xH+S/cRvFejVRXBQyeRkzeXVOx51LHJldTyP8C4Ia0qdTpFNFQ==" saltValue="eLGq61T3kWOc08jFtnOb3A==" spinCount="100000" sheet="1" objects="1" scenarios="1"/>
  <mergeCells count="8">
    <mergeCell ref="P48:V49"/>
    <mergeCell ref="A1:D1"/>
    <mergeCell ref="F1:I1"/>
    <mergeCell ref="A9:F9"/>
    <mergeCell ref="A3:A6"/>
    <mergeCell ref="B4:C4"/>
    <mergeCell ref="D4:E4"/>
    <mergeCell ref="B3:E3"/>
  </mergeCells>
  <pageMargins left="0.7" right="0.7" top="0.75" bottom="0.75" header="0.3" footer="0.3"/>
  <pageSetup paperSize="17" scale="48" orientation="landscape"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67"/>
  <sheetViews>
    <sheetView showGridLines="0" tabSelected="1" zoomScaleNormal="100" workbookViewId="0">
      <pane ySplit="4" topLeftCell="A5" activePane="bottomLeft" state="frozen"/>
      <selection activeCell="I28" sqref="I28"/>
      <selection pane="bottomLeft" activeCell="B8" sqref="B8"/>
    </sheetView>
  </sheetViews>
  <sheetFormatPr defaultRowHeight="15" x14ac:dyDescent="0.25"/>
  <cols>
    <col min="1" max="1" width="16.28515625" style="266" customWidth="1"/>
    <col min="2" max="2" width="8.85546875" style="266" customWidth="1"/>
    <col min="3" max="3" width="11.140625" style="266" customWidth="1"/>
    <col min="4" max="4" width="38.7109375" style="267" customWidth="1"/>
    <col min="5" max="5" width="1" style="197" customWidth="1"/>
    <col min="6" max="6" width="8.85546875" style="125" customWidth="1"/>
    <col min="7" max="7" width="10.42578125" style="174" customWidth="1"/>
    <col min="8" max="8" width="10.42578125" style="125" customWidth="1"/>
    <col min="9" max="9" width="9.42578125" style="125" customWidth="1"/>
    <col min="10" max="10" width="9.5703125" style="125" customWidth="1"/>
    <col min="11" max="11" width="11.5703125" style="125" bestFit="1" customWidth="1"/>
    <col min="12" max="12" width="11" style="125" customWidth="1"/>
    <col min="13" max="57" width="10" style="125" customWidth="1"/>
    <col min="58" max="16384" width="9.140625" style="125"/>
  </cols>
  <sheetData>
    <row r="1" spans="1:57" ht="60" customHeight="1" thickBot="1" x14ac:dyDescent="0.3">
      <c r="A1" s="307" t="s">
        <v>251</v>
      </c>
      <c r="B1" s="308"/>
      <c r="C1" s="308"/>
      <c r="D1" s="308"/>
      <c r="E1" s="308"/>
      <c r="F1" s="308"/>
      <c r="G1" s="308"/>
      <c r="H1" s="309"/>
      <c r="M1" s="187"/>
      <c r="N1" s="187"/>
      <c r="O1" s="187"/>
      <c r="P1" s="187"/>
      <c r="Q1" s="187"/>
      <c r="R1" s="187"/>
      <c r="S1" s="187"/>
      <c r="T1" s="187"/>
      <c r="U1" s="187"/>
      <c r="V1" s="188"/>
      <c r="W1" s="187"/>
      <c r="X1" s="187"/>
      <c r="Y1" s="187"/>
      <c r="Z1" s="187"/>
      <c r="AA1" s="187"/>
      <c r="AB1" s="187"/>
      <c r="AC1" s="187"/>
      <c r="AD1" s="187"/>
      <c r="AE1" s="189"/>
      <c r="AF1" s="189"/>
      <c r="AG1" s="189"/>
      <c r="AH1" s="189"/>
      <c r="AI1" s="189"/>
      <c r="AJ1" s="189"/>
      <c r="AK1" s="189"/>
      <c r="AL1" s="189"/>
      <c r="AM1" s="189"/>
      <c r="AN1" s="189"/>
      <c r="AO1" s="187"/>
      <c r="AP1" s="187"/>
      <c r="AQ1" s="187"/>
      <c r="AR1" s="187"/>
      <c r="AS1" s="187"/>
      <c r="AT1" s="187"/>
      <c r="AU1" s="187"/>
      <c r="AV1" s="187"/>
      <c r="AW1" s="187"/>
      <c r="AX1" s="187"/>
      <c r="AY1" s="187"/>
      <c r="AZ1" s="187"/>
      <c r="BA1" s="187"/>
      <c r="BB1" s="187"/>
      <c r="BC1" s="187"/>
      <c r="BD1" s="187"/>
      <c r="BE1" s="190"/>
    </row>
    <row r="2" spans="1:57" ht="32.25" customHeight="1" thickBot="1" x14ac:dyDescent="0.3">
      <c r="A2" s="324" t="s">
        <v>191</v>
      </c>
      <c r="B2" s="325"/>
      <c r="C2" s="325"/>
      <c r="D2" s="326"/>
      <c r="E2" s="191"/>
      <c r="F2" s="192" t="s">
        <v>243</v>
      </c>
      <c r="G2" s="193"/>
      <c r="H2" s="193"/>
      <c r="I2" s="194"/>
      <c r="J2" s="195"/>
      <c r="K2" s="194"/>
      <c r="L2" s="196"/>
      <c r="M2" s="315" t="s">
        <v>122</v>
      </c>
      <c r="N2" s="316"/>
      <c r="O2" s="316"/>
      <c r="P2" s="316"/>
      <c r="Q2" s="316"/>
      <c r="R2" s="316"/>
      <c r="S2" s="316"/>
      <c r="T2" s="316"/>
      <c r="U2" s="316"/>
      <c r="V2" s="316"/>
      <c r="W2" s="316"/>
      <c r="X2" s="316"/>
      <c r="Y2" s="317"/>
      <c r="Z2" s="315" t="s">
        <v>121</v>
      </c>
      <c r="AA2" s="316"/>
      <c r="AB2" s="316"/>
      <c r="AC2" s="317"/>
      <c r="AD2" s="315" t="s">
        <v>124</v>
      </c>
      <c r="AE2" s="316"/>
      <c r="AF2" s="316"/>
      <c r="AG2" s="316"/>
      <c r="AH2" s="316"/>
      <c r="AI2" s="316"/>
      <c r="AJ2" s="317"/>
      <c r="AK2" s="315" t="s">
        <v>127</v>
      </c>
      <c r="AL2" s="316"/>
      <c r="AM2" s="316"/>
      <c r="AN2" s="316"/>
      <c r="AO2" s="316"/>
      <c r="AP2" s="316"/>
      <c r="AQ2" s="317"/>
      <c r="AR2" s="315" t="s">
        <v>128</v>
      </c>
      <c r="AS2" s="316"/>
      <c r="AT2" s="316"/>
      <c r="AU2" s="316"/>
      <c r="AV2" s="316"/>
      <c r="AW2" s="316"/>
      <c r="AX2" s="317"/>
      <c r="AY2" s="315" t="s">
        <v>129</v>
      </c>
      <c r="AZ2" s="316"/>
      <c r="BA2" s="316"/>
      <c r="BB2" s="316"/>
      <c r="BC2" s="316"/>
      <c r="BD2" s="316"/>
      <c r="BE2" s="317"/>
    </row>
    <row r="3" spans="1:57" ht="36.75" customHeight="1" thickBot="1" x14ac:dyDescent="0.3">
      <c r="A3" s="324" t="s">
        <v>192</v>
      </c>
      <c r="B3" s="325"/>
      <c r="C3" s="325"/>
      <c r="D3" s="326"/>
      <c r="F3" s="7"/>
      <c r="G3" s="8"/>
      <c r="H3" s="9"/>
      <c r="I3" s="9"/>
      <c r="J3" s="10">
        <f>203-10*LOG10(50)</f>
        <v>186.01029995663981</v>
      </c>
      <c r="K3" s="11">
        <v>170</v>
      </c>
      <c r="L3" s="12"/>
      <c r="M3" s="13">
        <v>216</v>
      </c>
      <c r="N3" s="14">
        <v>203</v>
      </c>
      <c r="O3" s="15">
        <v>203</v>
      </c>
      <c r="P3" s="15">
        <v>186</v>
      </c>
      <c r="Q3" s="15">
        <v>186</v>
      </c>
      <c r="R3" s="15">
        <v>186</v>
      </c>
      <c r="S3" s="15">
        <v>213</v>
      </c>
      <c r="T3" s="15">
        <v>207</v>
      </c>
      <c r="U3" s="15">
        <v>207</v>
      </c>
      <c r="V3" s="15">
        <v>183</v>
      </c>
      <c r="W3" s="15">
        <v>187</v>
      </c>
      <c r="X3" s="15">
        <v>206</v>
      </c>
      <c r="Y3" s="16">
        <v>150</v>
      </c>
      <c r="Z3" s="17">
        <v>210</v>
      </c>
      <c r="AA3" s="18">
        <v>207</v>
      </c>
      <c r="AB3" s="19">
        <v>180</v>
      </c>
      <c r="AC3" s="20">
        <v>166</v>
      </c>
      <c r="AD3" s="21"/>
      <c r="AE3" s="18">
        <v>183</v>
      </c>
      <c r="AF3" s="18"/>
      <c r="AG3" s="18">
        <v>168</v>
      </c>
      <c r="AH3" s="18">
        <v>219</v>
      </c>
      <c r="AI3" s="18">
        <v>213</v>
      </c>
      <c r="AJ3" s="22">
        <v>160</v>
      </c>
      <c r="AK3" s="17"/>
      <c r="AL3" s="23">
        <v>185</v>
      </c>
      <c r="AM3" s="23"/>
      <c r="AN3" s="23">
        <v>170</v>
      </c>
      <c r="AO3" s="23">
        <v>230</v>
      </c>
      <c r="AP3" s="23">
        <v>224</v>
      </c>
      <c r="AQ3" s="22">
        <v>160</v>
      </c>
      <c r="AR3" s="17"/>
      <c r="AS3" s="18">
        <v>155</v>
      </c>
      <c r="AT3" s="18"/>
      <c r="AU3" s="18">
        <v>140</v>
      </c>
      <c r="AV3" s="18">
        <v>202</v>
      </c>
      <c r="AW3" s="18">
        <v>196</v>
      </c>
      <c r="AX3" s="22">
        <v>160</v>
      </c>
      <c r="AY3" s="17"/>
      <c r="AZ3" s="18">
        <v>185</v>
      </c>
      <c r="BA3" s="18"/>
      <c r="BB3" s="18">
        <v>170</v>
      </c>
      <c r="BC3" s="18">
        <v>218</v>
      </c>
      <c r="BD3" s="18">
        <v>212</v>
      </c>
      <c r="BE3" s="22">
        <v>160</v>
      </c>
    </row>
    <row r="4" spans="1:57" ht="44.25" customHeight="1" thickBot="1" x14ac:dyDescent="0.3">
      <c r="A4" s="198" t="s">
        <v>14</v>
      </c>
      <c r="B4" s="199"/>
      <c r="C4" s="199"/>
      <c r="D4" s="200" t="s">
        <v>238</v>
      </c>
      <c r="F4" s="24">
        <v>0.1</v>
      </c>
      <c r="G4" s="25" t="s">
        <v>101</v>
      </c>
      <c r="H4" s="26" t="s">
        <v>107</v>
      </c>
      <c r="I4" s="27" t="s">
        <v>69</v>
      </c>
      <c r="J4" s="28"/>
      <c r="K4" s="27" t="s">
        <v>65</v>
      </c>
      <c r="L4" s="29" t="s">
        <v>65</v>
      </c>
      <c r="M4" s="30" t="s">
        <v>130</v>
      </c>
      <c r="N4" s="31" t="s">
        <v>115</v>
      </c>
      <c r="O4" s="31" t="s">
        <v>116</v>
      </c>
      <c r="P4" s="31" t="s">
        <v>131</v>
      </c>
      <c r="Q4" s="31" t="s">
        <v>113</v>
      </c>
      <c r="R4" s="31" t="s">
        <v>114</v>
      </c>
      <c r="S4" s="32" t="s">
        <v>132</v>
      </c>
      <c r="T4" s="33" t="s">
        <v>133</v>
      </c>
      <c r="U4" s="34" t="s">
        <v>134</v>
      </c>
      <c r="V4" s="31" t="s">
        <v>117</v>
      </c>
      <c r="W4" s="31" t="s">
        <v>118</v>
      </c>
      <c r="X4" s="35" t="s">
        <v>119</v>
      </c>
      <c r="Y4" s="36" t="s">
        <v>120</v>
      </c>
      <c r="Z4" s="30" t="s">
        <v>118</v>
      </c>
      <c r="AA4" s="35" t="s">
        <v>119</v>
      </c>
      <c r="AB4" s="37" t="s">
        <v>120</v>
      </c>
      <c r="AC4" s="36" t="s">
        <v>120</v>
      </c>
      <c r="AD4" s="30" t="s">
        <v>123</v>
      </c>
      <c r="AE4" s="31" t="s">
        <v>123</v>
      </c>
      <c r="AF4" s="31" t="s">
        <v>113</v>
      </c>
      <c r="AG4" s="31" t="s">
        <v>113</v>
      </c>
      <c r="AH4" s="35" t="s">
        <v>125</v>
      </c>
      <c r="AI4" s="35" t="s">
        <v>126</v>
      </c>
      <c r="AJ4" s="36" t="s">
        <v>120</v>
      </c>
      <c r="AK4" s="30" t="s">
        <v>123</v>
      </c>
      <c r="AL4" s="31" t="s">
        <v>123</v>
      </c>
      <c r="AM4" s="31" t="s">
        <v>113</v>
      </c>
      <c r="AN4" s="31" t="s">
        <v>113</v>
      </c>
      <c r="AO4" s="35" t="s">
        <v>125</v>
      </c>
      <c r="AP4" s="35" t="s">
        <v>126</v>
      </c>
      <c r="AQ4" s="36" t="s">
        <v>120</v>
      </c>
      <c r="AR4" s="30" t="s">
        <v>123</v>
      </c>
      <c r="AS4" s="31" t="s">
        <v>123</v>
      </c>
      <c r="AT4" s="31" t="s">
        <v>113</v>
      </c>
      <c r="AU4" s="31" t="s">
        <v>113</v>
      </c>
      <c r="AV4" s="35" t="s">
        <v>125</v>
      </c>
      <c r="AW4" s="35" t="s">
        <v>126</v>
      </c>
      <c r="AX4" s="36" t="s">
        <v>120</v>
      </c>
      <c r="AY4" s="30" t="s">
        <v>123</v>
      </c>
      <c r="AZ4" s="31" t="s">
        <v>123</v>
      </c>
      <c r="BA4" s="31" t="s">
        <v>113</v>
      </c>
      <c r="BB4" s="31" t="s">
        <v>113</v>
      </c>
      <c r="BC4" s="35" t="s">
        <v>125</v>
      </c>
      <c r="BD4" s="35" t="s">
        <v>126</v>
      </c>
      <c r="BE4" s="36" t="s">
        <v>120</v>
      </c>
    </row>
    <row r="5" spans="1:57" ht="15.75" thickBot="1" x14ac:dyDescent="0.3">
      <c r="A5" s="201" t="s">
        <v>73</v>
      </c>
      <c r="B5" s="202" t="s">
        <v>72</v>
      </c>
      <c r="C5" s="202" t="s">
        <v>236</v>
      </c>
      <c r="D5" s="203" t="s">
        <v>237</v>
      </c>
      <c r="F5" s="38" t="s">
        <v>52</v>
      </c>
      <c r="G5" s="39" t="s">
        <v>51</v>
      </c>
      <c r="H5" s="40" t="s">
        <v>92</v>
      </c>
      <c r="I5" s="41" t="s">
        <v>100</v>
      </c>
      <c r="J5" s="42" t="s">
        <v>99</v>
      </c>
      <c r="K5" s="43" t="s">
        <v>67</v>
      </c>
      <c r="L5" s="44" t="s">
        <v>68</v>
      </c>
      <c r="M5" s="45" t="s">
        <v>112</v>
      </c>
      <c r="N5" s="46" t="s">
        <v>112</v>
      </c>
      <c r="O5" s="46" t="s">
        <v>112</v>
      </c>
      <c r="P5" s="46" t="s">
        <v>112</v>
      </c>
      <c r="Q5" s="46" t="s">
        <v>112</v>
      </c>
      <c r="R5" s="46" t="s">
        <v>112</v>
      </c>
      <c r="S5" s="47" t="s">
        <v>112</v>
      </c>
      <c r="T5" s="46" t="s">
        <v>112</v>
      </c>
      <c r="U5" s="48" t="s">
        <v>112</v>
      </c>
      <c r="V5" s="46" t="s">
        <v>112</v>
      </c>
      <c r="W5" s="46" t="s">
        <v>112</v>
      </c>
      <c r="X5" s="46" t="s">
        <v>112</v>
      </c>
      <c r="Y5" s="49" t="s">
        <v>112</v>
      </c>
      <c r="Z5" s="45" t="s">
        <v>112</v>
      </c>
      <c r="AA5" s="50" t="s">
        <v>112</v>
      </c>
      <c r="AB5" s="46" t="s">
        <v>112</v>
      </c>
      <c r="AC5" s="49" t="s">
        <v>112</v>
      </c>
      <c r="AD5" s="51" t="s">
        <v>135</v>
      </c>
      <c r="AE5" s="48" t="s">
        <v>112</v>
      </c>
      <c r="AF5" s="52" t="s">
        <v>135</v>
      </c>
      <c r="AG5" s="46" t="s">
        <v>112</v>
      </c>
      <c r="AH5" s="53" t="s">
        <v>112</v>
      </c>
      <c r="AI5" s="53" t="s">
        <v>112</v>
      </c>
      <c r="AJ5" s="49" t="s">
        <v>112</v>
      </c>
      <c r="AK5" s="51" t="s">
        <v>135</v>
      </c>
      <c r="AL5" s="50" t="s">
        <v>112</v>
      </c>
      <c r="AM5" s="54" t="s">
        <v>135</v>
      </c>
      <c r="AN5" s="50" t="s">
        <v>112</v>
      </c>
      <c r="AO5" s="50" t="s">
        <v>112</v>
      </c>
      <c r="AP5" s="50" t="s">
        <v>112</v>
      </c>
      <c r="AQ5" s="49" t="s">
        <v>112</v>
      </c>
      <c r="AR5" s="51" t="s">
        <v>135</v>
      </c>
      <c r="AS5" s="50" t="s">
        <v>112</v>
      </c>
      <c r="AT5" s="54" t="s">
        <v>135</v>
      </c>
      <c r="AU5" s="50" t="s">
        <v>112</v>
      </c>
      <c r="AV5" s="50" t="s">
        <v>112</v>
      </c>
      <c r="AW5" s="50" t="s">
        <v>112</v>
      </c>
      <c r="AX5" s="49" t="s">
        <v>112</v>
      </c>
      <c r="AY5" s="51" t="s">
        <v>135</v>
      </c>
      <c r="AZ5" s="50" t="s">
        <v>112</v>
      </c>
      <c r="BA5" s="54" t="s">
        <v>135</v>
      </c>
      <c r="BB5" s="50" t="s">
        <v>112</v>
      </c>
      <c r="BC5" s="50" t="s">
        <v>112</v>
      </c>
      <c r="BD5" s="50" t="s">
        <v>112</v>
      </c>
      <c r="BE5" s="49" t="s">
        <v>112</v>
      </c>
    </row>
    <row r="6" spans="1:57" ht="15.75" thickBot="1" x14ac:dyDescent="0.3">
      <c r="A6" s="318" t="s">
        <v>234</v>
      </c>
      <c r="B6" s="319"/>
      <c r="C6" s="319"/>
      <c r="D6" s="320"/>
      <c r="F6" s="55">
        <f>LOG10(B11/2)</f>
        <v>0.47712125471966244</v>
      </c>
      <c r="G6" s="56">
        <f>10^$F6</f>
        <v>3.0000000000000004</v>
      </c>
      <c r="H6" s="57">
        <f t="shared" ref="H6:H51" si="0">$G6-$B$11/2</f>
        <v>0</v>
      </c>
      <c r="I6" s="56">
        <f t="shared" ref="I6:I51" si="1">SEL_1-10*LOG(G6/R_1)-alpha*(G6-R_1)</f>
        <v>198.22098745344036</v>
      </c>
      <c r="J6" s="57">
        <f t="shared" ref="J6:J51" si="2">I6+10*LOG10(Nstrikes)</f>
        <v>215.21068749680055</v>
      </c>
      <c r="K6" s="56">
        <f t="shared" ref="K6:K51" si="3">Acorr*I6+Bcorr</f>
        <v>225.26340593158187</v>
      </c>
      <c r="L6" s="57">
        <f t="shared" ref="L6:L51" si="4">Arms*I6+Brms</f>
        <v>212.95413557145639</v>
      </c>
      <c r="M6" s="58">
        <f>IF(($J6&gt;M$3)*AND($J7&lt;M$3),$G6+(M$3-$J6)*($G7-$G6)/($J7-$J6),0)</f>
        <v>0</v>
      </c>
      <c r="N6" s="59">
        <f t="shared" ref="M6:N21" si="5">IF(($J6&gt;N$3)*AND($J7&lt;N$3),$G6+(N$3-$J6)*($G7-$G6)/($J7-$J6),0)</f>
        <v>0</v>
      </c>
      <c r="O6" s="59">
        <f t="shared" ref="O6:O51" si="6">IF(($J6&gt;O$3)*AND($J7&lt;O$3),$G6+(O$3-$J6)*($G7-$G6)/($J7-$J6),0)</f>
        <v>0</v>
      </c>
      <c r="P6" s="59">
        <f t="shared" ref="P6:P51" si="7">IF(($J6&gt;P$3)*AND($J7&lt;P$3),$G6+(P$3-$J6)*($G7-$G6)/($J7-$J6),0)</f>
        <v>0</v>
      </c>
      <c r="Q6" s="59">
        <f t="shared" ref="Q6:Q51" si="8">IF(($J6&gt;Q$3)*AND($J7&lt;Q$3),$G6+(Q$3-$J6)*($G7-$G6)/($J7-$J6),0)</f>
        <v>0</v>
      </c>
      <c r="R6" s="59">
        <f t="shared" ref="R6:R51" si="9">IF(($J6&gt;R$3)*AND($J7&lt;R$3),$G6+(R$3-$J6)*($G7-$G6)/($J7-$J6),0)</f>
        <v>0</v>
      </c>
      <c r="S6" s="59">
        <f>IF(($K6&gt;S$3)*AND($K7&lt;S$3),$G6+(S$3-$K6)*($G7-$G6)/($K7-$K6),0)</f>
        <v>0</v>
      </c>
      <c r="T6" s="59">
        <f>IF(($K6&gt;T$3)*AND($K7&lt;T$3),$G6+(T$3-$K6)*($G7-$G6)/($K7-$K6),0)</f>
        <v>0</v>
      </c>
      <c r="U6" s="59">
        <f>IF(($K6&gt;U$3)*AND($K7&lt;U$3),$G6+(U$3-$K6)*($G7-$G6)/($K7-$K6),0)</f>
        <v>0</v>
      </c>
      <c r="V6" s="59">
        <f>IF(($J6&gt;V$3)*AND($J7&lt;V$3),$G6+(V$3-$J6)*($G7-$G6)/($J7-$J6),0)</f>
        <v>0</v>
      </c>
      <c r="W6" s="59">
        <f t="shared" ref="V6:W21" si="10">IF(($J6&gt;W$3)*AND($J7&lt;W$3),$G6+(W$3-$J6)*($G7-$G6)/($J7-$J6),0)</f>
        <v>0</v>
      </c>
      <c r="X6" s="59">
        <f>IF(($K6&gt;X$3)*AND($K7&lt;X$3),$G6+(X$3-$K6)*($G7-$G6)/($K7-$K6),0)</f>
        <v>0</v>
      </c>
      <c r="Y6" s="60">
        <f>IF(($L6&gt;Y$3)*AND($L7&lt;Y$3),$G6+(Y$3-$L6)*($G7-$G6)/($L7-$L6),0)</f>
        <v>0</v>
      </c>
      <c r="Z6" s="58">
        <f>IF(($J6&gt;Z$3)*AND($J7&lt;Z$3),$G6+(Z$3-$J6)*($G7-$G6)/($J7-$J6),0)</f>
        <v>0</v>
      </c>
      <c r="AA6" s="59">
        <f>IF(($K6&gt;AA$3)*AND($K7&lt;AA$3),$G6+(AA$3-$K6)*($G7-$G6)/($K7-$K6),0)</f>
        <v>0</v>
      </c>
      <c r="AB6" s="59">
        <f>IF(($L6&gt;AB$3)*AND($L7&lt;AB$3),$G6+(AB$3-$L6)*($G7-$G6)/($L7-$L6),0)</f>
        <v>0</v>
      </c>
      <c r="AC6" s="60">
        <f>IF(($L6&gt;AC$3)*AND($L7&lt;AC$3),$G6+(AC$3-$L6)*($G7-$G6)/($L7-$L6),0)</f>
        <v>0</v>
      </c>
      <c r="AD6" s="58">
        <f t="shared" ref="AD6:AD51" si="11">$J6+AE$55</f>
        <v>215.20176050795777</v>
      </c>
      <c r="AE6" s="61">
        <f t="shared" ref="AE6:AE51" si="12">IF((AD6&gt;AE$3)*AND(AD7&lt;AE$3),$G6+(AE$3-AD6)*($G7-$G6)/(AD7-AD6),0)</f>
        <v>0</v>
      </c>
      <c r="AF6" s="59">
        <f t="shared" ref="AF6:AF51" si="13">$J6+AG$55</f>
        <v>215.20176050795777</v>
      </c>
      <c r="AG6" s="61">
        <f t="shared" ref="AG6:AG51" si="14">IF((AF6&gt;AG$3)*AND(AF7&lt;AG$3),$G6+(AG$3-AF6)*($G7-$G6)/(AF7-AF6),0)</f>
        <v>0</v>
      </c>
      <c r="AH6" s="62">
        <f>IF(($K6&gt;AH$3)*AND($K7&lt;AH$3),$G6+(AH$3-$K6)*($G7-$G6)/($K7-$K6),0)</f>
        <v>0</v>
      </c>
      <c r="AI6" s="59">
        <f>IF(($K6&gt;AI$3)*AND($K7&lt;AI$3),$G6+(AI$3-$K6)*($G7-$G6)/($K7-$K6),0)</f>
        <v>0</v>
      </c>
      <c r="AJ6" s="60">
        <f>IF(($L6&gt;AJ$3)*AND($L7&lt;AJ$3),$G6+(AJ$3-$L6)*($G7-$G6)/($L7-$L6),0)</f>
        <v>0</v>
      </c>
      <c r="AK6" s="58">
        <f t="shared" ref="AK6:AK51" si="15">$J6+AL$55</f>
        <v>195.46737222419139</v>
      </c>
      <c r="AL6" s="61">
        <f t="shared" ref="AL6:AN51" si="16">IF((AK6&gt;AL$3)*AND(AK7&lt;AL$3),$G6+(AL$3-AK6)*($G7-$G6)/(AK7-AK6),0)</f>
        <v>0</v>
      </c>
      <c r="AM6" s="59">
        <f t="shared" ref="AM6:AM51" si="17">$J6+AN$55</f>
        <v>195.46737222419139</v>
      </c>
      <c r="AN6" s="61">
        <f t="shared" si="16"/>
        <v>0</v>
      </c>
      <c r="AO6" s="59">
        <f>IF(($K6&gt;AO$3)*AND($K7&lt;AO$3),$G6+(AO$3-$K6)*($G7-$G6)/($K7-$K6),0)</f>
        <v>0</v>
      </c>
      <c r="AP6" s="59">
        <f>IF(($K6&gt;AP$3)*AND($K7&lt;AP$3),$G6+(AP$3-$K6)*($G7-$G6)/($K7-$K6),0)</f>
        <v>0</v>
      </c>
      <c r="AQ6" s="60">
        <f>IF(($L6&gt;AQ$3)*AND($L7&lt;AQ$3),$G6+(AQ$3-$L6)*($G7-$G6)/($L7-$L6),0)</f>
        <v>0</v>
      </c>
      <c r="AR6" s="58">
        <f>$J6+AS$55</f>
        <v>188.34128401391231</v>
      </c>
      <c r="AS6" s="61">
        <f t="shared" ref="AS6:AS51" si="18">IF((AR6&gt;AS$3)*AND(AR7&lt;AS$3),$G6+(AS$3-AR6)*($G7-$G6)/(AR7-AR6),0)</f>
        <v>0</v>
      </c>
      <c r="AT6" s="59">
        <f>$J6+AU$55</f>
        <v>188.34128401391231</v>
      </c>
      <c r="AU6" s="61">
        <f t="shared" ref="AU6:AU51" si="19">IF((AT6&gt;AU$3)*AND(AT7&lt;AU$3),$G6+(AU$3-AT6)*($G7-$G6)/(AT7-AT6),0)</f>
        <v>0</v>
      </c>
      <c r="AV6" s="59">
        <f>IF(($K6&gt;AV$3)*AND($K7&lt;AV$3),$G6+(AV$3-$K6)*($G7-$G6)/($K7-$K6),0)</f>
        <v>0</v>
      </c>
      <c r="AW6" s="59">
        <f>IF(($K6&gt;AW$3)*AND($K7&lt;AW$3),$G6+(AW$3-$K6)*($G7-$G6)/($K7-$K6),0)</f>
        <v>0</v>
      </c>
      <c r="AX6" s="60">
        <f>IF(($L6&gt;AX$3)*AND($L7&lt;AX$3),$G6+(AX$3-$L6)*($G7-$G6)/($L7-$L6),0)</f>
        <v>0</v>
      </c>
      <c r="AY6" s="58">
        <f>$J6+AZ$55</f>
        <v>213.12892242165367</v>
      </c>
      <c r="AZ6" s="61">
        <f t="shared" ref="AZ6:AZ51" si="20">IF((AY6&gt;AZ$3)*AND(AY7&lt;AZ$3),$G6+(AZ$3-AY6)*($G7-$G6)/(AY7-AY6),0)</f>
        <v>0</v>
      </c>
      <c r="BA6" s="59">
        <f>$J6+BB$55</f>
        <v>213.12892242165367</v>
      </c>
      <c r="BB6" s="61">
        <f t="shared" ref="BB6:BB51" si="21">IF((BA6&gt;BB$3)*AND(BA7&lt;BB$3),$G6+(BB$3-BA6)*($G7-$G6)/(BA7-BA6),0)</f>
        <v>0</v>
      </c>
      <c r="BC6" s="59">
        <f>IF(($K6&gt;BC$3)*AND($K7&lt;BC$3),$G6+(BC$3-$K6)*($G7-$G6)/($K7-$K6),0)</f>
        <v>0</v>
      </c>
      <c r="BD6" s="59">
        <f>IF(($K6&gt;BD$3)*AND($K7&lt;BD$3),$G6+(BD$3-$K6)*($G7-$G6)/($K7-$K6),0)</f>
        <v>0</v>
      </c>
      <c r="BE6" s="60">
        <f>IF(($L6&gt;BE$3)*AND($L7&lt;BE$3),$G6+(BE$3-$L6)*($G7-$G6)/($L7-$L6),0)</f>
        <v>0</v>
      </c>
    </row>
    <row r="7" spans="1:57" x14ac:dyDescent="0.25">
      <c r="A7" s="204" t="s">
        <v>2</v>
      </c>
      <c r="B7" s="205">
        <v>29</v>
      </c>
      <c r="C7" s="206" t="s">
        <v>3</v>
      </c>
      <c r="D7" s="207" t="s">
        <v>178</v>
      </c>
      <c r="F7" s="55">
        <f t="shared" ref="F7:F51" si="22">F6+dlog10R</f>
        <v>0.57712125471966247</v>
      </c>
      <c r="G7" s="56">
        <f>10^$F7</f>
        <v>3.7767762353825027</v>
      </c>
      <c r="H7" s="57">
        <f t="shared" si="0"/>
        <v>0.77677623538250273</v>
      </c>
      <c r="I7" s="56">
        <f t="shared" si="1"/>
        <v>197.21997851383099</v>
      </c>
      <c r="J7" s="57">
        <f t="shared" si="2"/>
        <v>214.20967855719118</v>
      </c>
      <c r="K7" s="56">
        <f>Acorr*I7+Bcorr</f>
        <v>224.06119419511103</v>
      </c>
      <c r="L7" s="57">
        <f t="shared" si="4"/>
        <v>211.80297529090564</v>
      </c>
      <c r="M7" s="58">
        <f t="shared" si="5"/>
        <v>0</v>
      </c>
      <c r="N7" s="59">
        <f t="shared" si="5"/>
        <v>0</v>
      </c>
      <c r="O7" s="59">
        <f t="shared" si="6"/>
        <v>0</v>
      </c>
      <c r="P7" s="59">
        <f t="shared" si="7"/>
        <v>0</v>
      </c>
      <c r="Q7" s="59">
        <f t="shared" si="8"/>
        <v>0</v>
      </c>
      <c r="R7" s="59">
        <f t="shared" si="9"/>
        <v>0</v>
      </c>
      <c r="S7" s="59">
        <f t="shared" ref="S7:S51" si="23">IF(($K7&gt;S$3)*AND($K8&lt;S$3),$G7+(S$3-$K7)*($G8-$G7)/($K8-$K7),0)</f>
        <v>0</v>
      </c>
      <c r="T7" s="59">
        <f t="shared" ref="T7:T51" si="24">IF(($K7&gt;T$3)*AND($K8&lt;T$3),$G7+(T$3-$K7)*($G8-$G7)/($K8-$K7),0)</f>
        <v>0</v>
      </c>
      <c r="U7" s="59">
        <f t="shared" ref="U7:U51" si="25">IF(($K7&gt;U$3)*AND($K8&lt;U$3),$G7+(U$3-$K7)*($G8-$G7)/($K8-$K7),0)</f>
        <v>0</v>
      </c>
      <c r="V7" s="59">
        <f t="shared" si="10"/>
        <v>0</v>
      </c>
      <c r="W7" s="59">
        <f t="shared" si="10"/>
        <v>0</v>
      </c>
      <c r="X7" s="59">
        <f t="shared" ref="X7:X51" si="26">IF(($K7&gt;X$3)*AND($K8&lt;X$3),$G7+(X$3-$K7)*($G8-$G7)/($K8-$K7),0)</f>
        <v>0</v>
      </c>
      <c r="Y7" s="60">
        <f t="shared" ref="Y7:Y51" si="27">IF(($L7&gt;Y$3)*AND($L8&lt;Y$3),$G7+(Y$3-$L7)*($G8-$G7)/($L8-$L7),0)</f>
        <v>0</v>
      </c>
      <c r="Z7" s="58">
        <f t="shared" ref="Z7:Z51" si="28">IF(($J7&gt;Z$3)*AND($J8&lt;Z$3),$G7+(Z$3-$J7)*($G8-$G7)/($J8-$J7),0)</f>
        <v>0</v>
      </c>
      <c r="AA7" s="59">
        <f t="shared" ref="AA7:AA51" si="29">IF(($K7&gt;AA$3)*AND($K8&lt;AA$3),$G7+(AA$3-$K7)*($G8-$G7)/($K8-$K7),0)</f>
        <v>0</v>
      </c>
      <c r="AB7" s="59">
        <f t="shared" ref="AB7:AB51" si="30">IF(($L7&gt;AB$3)*AND($L8&lt;AB$3),$G7+(AB$3-$L7)*($G8-$G7)/($L8-$L7),0)</f>
        <v>0</v>
      </c>
      <c r="AC7" s="60">
        <f t="shared" ref="AC7:AC51" si="31">IF(($L7&gt;AC$3)*AND($L8&lt;AC$3),$G7+(AC$3-$L7)*($G8-$G7)/($L8-$L7),0)</f>
        <v>0</v>
      </c>
      <c r="AD7" s="58">
        <f t="shared" si="11"/>
        <v>214.20075156834841</v>
      </c>
      <c r="AE7" s="61">
        <f t="shared" si="12"/>
        <v>0</v>
      </c>
      <c r="AF7" s="59">
        <f t="shared" si="13"/>
        <v>214.20075156834841</v>
      </c>
      <c r="AG7" s="61">
        <f t="shared" si="14"/>
        <v>0</v>
      </c>
      <c r="AH7" s="62">
        <f t="shared" ref="AH7:AH51" si="32">IF(($K7&gt;AH$3)*AND($K8&lt;AH$3),$G7+(AH$3-$K7)*($G8-$G7)/($K8-$K7),0)</f>
        <v>0</v>
      </c>
      <c r="AI7" s="59">
        <f t="shared" ref="AI7:AI51" si="33">IF(($K7&gt;AI$3)*AND($K8&lt;AI$3),$G7+(AI$3-$K7)*($G8-$G7)/($K8-$K7),0)</f>
        <v>0</v>
      </c>
      <c r="AJ7" s="60">
        <f t="shared" ref="AJ7:AJ51" si="34">IF(($L7&gt;AJ$3)*AND($L8&lt;AJ$3),$G7+(AJ$3-$L7)*($G8-$G7)/($L8-$L7),0)</f>
        <v>0</v>
      </c>
      <c r="AK7" s="58">
        <f t="shared" si="15"/>
        <v>194.46636328458203</v>
      </c>
      <c r="AL7" s="61">
        <f t="shared" si="16"/>
        <v>0</v>
      </c>
      <c r="AM7" s="59">
        <f t="shared" si="17"/>
        <v>194.46636328458203</v>
      </c>
      <c r="AN7" s="61">
        <f t="shared" si="16"/>
        <v>0</v>
      </c>
      <c r="AO7" s="59">
        <f t="shared" ref="AO7:AO51" si="35">IF(($K7&gt;AO$3)*AND($K8&lt;AO$3),$G7+(AO$3-$K7)*($G8-$G7)/($K8-$K7),0)</f>
        <v>0</v>
      </c>
      <c r="AP7" s="59">
        <f t="shared" ref="AP7:AP51" si="36">IF(($K7&gt;AP$3)*AND($K8&lt;AP$3),$G7+(AP$3-$K7)*($G8-$G7)/($K8-$K7),0)</f>
        <v>3.8265398442332086</v>
      </c>
      <c r="AQ7" s="60">
        <f t="shared" ref="AQ7:AQ51" si="37">IF(($L7&gt;AQ$3)*AND($L8&lt;AQ$3),$G7+(AQ$3-$L7)*($G8-$G7)/($L8-$L7),0)</f>
        <v>0</v>
      </c>
      <c r="AR7" s="58">
        <f t="shared" ref="AR7:AR51" si="38">$J7+AS$55</f>
        <v>187.34027507430295</v>
      </c>
      <c r="AS7" s="61">
        <f t="shared" si="18"/>
        <v>0</v>
      </c>
      <c r="AT7" s="59">
        <f t="shared" ref="AT7:AT51" si="39">$J7+AU$55</f>
        <v>187.34027507430295</v>
      </c>
      <c r="AU7" s="61">
        <f t="shared" si="19"/>
        <v>0</v>
      </c>
      <c r="AV7" s="59">
        <f t="shared" ref="AV7:AV51" si="40">IF(($K7&gt;AV$3)*AND($K8&lt;AV$3),$G7+(AV$3-$K7)*($G8-$G7)/($K8-$K7),0)</f>
        <v>0</v>
      </c>
      <c r="AW7" s="59">
        <f t="shared" ref="AW7:AW51" si="41">IF(($K7&gt;AW$3)*AND($K8&lt;AW$3),$G7+(AW$3-$K7)*($G8-$G7)/($K8-$K7),0)</f>
        <v>0</v>
      </c>
      <c r="AX7" s="60">
        <f t="shared" ref="AX7:AX51" si="42">IF(($L7&gt;AX$3)*AND($L8&lt;AX$3),$G7+(AX$3-$L7)*($G8-$G7)/($L8-$L7),0)</f>
        <v>0</v>
      </c>
      <c r="AY7" s="58">
        <f t="shared" ref="AY7:AY51" si="43">$J7+AZ$55</f>
        <v>212.12791348204431</v>
      </c>
      <c r="AZ7" s="61">
        <f t="shared" si="20"/>
        <v>0</v>
      </c>
      <c r="BA7" s="59">
        <f t="shared" ref="BA7:BA51" si="44">$J7+BB$55</f>
        <v>212.12791348204431</v>
      </c>
      <c r="BB7" s="61">
        <f t="shared" si="21"/>
        <v>0</v>
      </c>
      <c r="BC7" s="59">
        <f t="shared" ref="BC7:BC21" si="45">IF(($K7&gt;BC$3)*AND($K8&lt;BC$3),$G7+(BC$3-$K7)*($G8-$G7)/($K8-$K7),0)</f>
        <v>0</v>
      </c>
      <c r="BD7" s="59">
        <f t="shared" ref="BD7:BD21" si="46">IF(($K7&gt;BD$3)*AND($K8&lt;BD$3),$G7+(BD$3-$K7)*($G8-$G7)/($K8-$K7),0)</f>
        <v>0</v>
      </c>
      <c r="BE7" s="60">
        <f t="shared" ref="BE7:BE21" si="47">IF(($L7&gt;BE$3)*AND($L8&lt;BE$3),$G7+(BE$3-$L7)*($G8-$G7)/($L8-$L7),0)</f>
        <v>0</v>
      </c>
    </row>
    <row r="8" spans="1:57" ht="18" x14ac:dyDescent="0.25">
      <c r="A8" s="208" t="s">
        <v>106</v>
      </c>
      <c r="B8" s="209">
        <v>179</v>
      </c>
      <c r="C8" s="210" t="s">
        <v>10</v>
      </c>
      <c r="D8" s="207" t="s">
        <v>167</v>
      </c>
      <c r="F8" s="55">
        <f t="shared" si="22"/>
        <v>0.67712125471966245</v>
      </c>
      <c r="G8" s="56">
        <f t="shared" ref="G8:G51" si="48">10^$F8</f>
        <v>4.7546795773833415</v>
      </c>
      <c r="H8" s="57">
        <f t="shared" si="0"/>
        <v>1.7546795773833415</v>
      </c>
      <c r="I8" s="56">
        <f t="shared" si="1"/>
        <v>196.21870833411779</v>
      </c>
      <c r="J8" s="57">
        <f t="shared" si="2"/>
        <v>213.20840837747798</v>
      </c>
      <c r="K8" s="56">
        <f t="shared" si="3"/>
        <v>222.85866870927546</v>
      </c>
      <c r="L8" s="57">
        <f>Arms*I8+Brms</f>
        <v>210.65151458423546</v>
      </c>
      <c r="M8" s="58">
        <f t="shared" si="5"/>
        <v>0</v>
      </c>
      <c r="N8" s="59">
        <f t="shared" si="5"/>
        <v>0</v>
      </c>
      <c r="O8" s="59">
        <f t="shared" si="6"/>
        <v>0</v>
      </c>
      <c r="P8" s="59">
        <f t="shared" si="7"/>
        <v>0</v>
      </c>
      <c r="Q8" s="59">
        <f t="shared" si="8"/>
        <v>0</v>
      </c>
      <c r="R8" s="59">
        <f t="shared" si="9"/>
        <v>0</v>
      </c>
      <c r="S8" s="59">
        <f t="shared" si="23"/>
        <v>0</v>
      </c>
      <c r="T8" s="59">
        <f t="shared" si="24"/>
        <v>0</v>
      </c>
      <c r="U8" s="59">
        <f t="shared" si="25"/>
        <v>0</v>
      </c>
      <c r="V8" s="59">
        <f t="shared" si="10"/>
        <v>0</v>
      </c>
      <c r="W8" s="59">
        <f t="shared" si="10"/>
        <v>0</v>
      </c>
      <c r="X8" s="59">
        <f t="shared" si="26"/>
        <v>0</v>
      </c>
      <c r="Y8" s="60">
        <f t="shared" si="27"/>
        <v>0</v>
      </c>
      <c r="Z8" s="58">
        <f t="shared" si="28"/>
        <v>0</v>
      </c>
      <c r="AA8" s="59">
        <f t="shared" si="29"/>
        <v>0</v>
      </c>
      <c r="AB8" s="59">
        <f t="shared" si="30"/>
        <v>0</v>
      </c>
      <c r="AC8" s="60">
        <f t="shared" si="31"/>
        <v>0</v>
      </c>
      <c r="AD8" s="58">
        <f t="shared" si="11"/>
        <v>213.19948138863521</v>
      </c>
      <c r="AE8" s="61">
        <f t="shared" si="12"/>
        <v>0</v>
      </c>
      <c r="AF8" s="59">
        <f t="shared" si="13"/>
        <v>213.19948138863521</v>
      </c>
      <c r="AG8" s="61">
        <f t="shared" si="14"/>
        <v>0</v>
      </c>
      <c r="AH8" s="62">
        <f t="shared" si="32"/>
        <v>0</v>
      </c>
      <c r="AI8" s="59">
        <f t="shared" si="33"/>
        <v>0</v>
      </c>
      <c r="AJ8" s="60">
        <f t="shared" si="34"/>
        <v>0</v>
      </c>
      <c r="AK8" s="58">
        <f t="shared" si="15"/>
        <v>193.46509310486883</v>
      </c>
      <c r="AL8" s="61">
        <f t="shared" si="16"/>
        <v>0</v>
      </c>
      <c r="AM8" s="59">
        <f t="shared" si="17"/>
        <v>193.46509310486883</v>
      </c>
      <c r="AN8" s="61">
        <f t="shared" si="16"/>
        <v>0</v>
      </c>
      <c r="AO8" s="59">
        <f t="shared" si="35"/>
        <v>0</v>
      </c>
      <c r="AP8" s="59">
        <f t="shared" si="36"/>
        <v>0</v>
      </c>
      <c r="AQ8" s="60">
        <f t="shared" si="37"/>
        <v>0</v>
      </c>
      <c r="AR8" s="58">
        <f t="shared" si="38"/>
        <v>186.33900489458975</v>
      </c>
      <c r="AS8" s="61">
        <f t="shared" si="18"/>
        <v>0</v>
      </c>
      <c r="AT8" s="59">
        <f t="shared" si="39"/>
        <v>186.33900489458975</v>
      </c>
      <c r="AU8" s="61">
        <f t="shared" si="19"/>
        <v>0</v>
      </c>
      <c r="AV8" s="59">
        <f t="shared" si="40"/>
        <v>0</v>
      </c>
      <c r="AW8" s="59">
        <f t="shared" si="41"/>
        <v>0</v>
      </c>
      <c r="AX8" s="60">
        <f t="shared" si="42"/>
        <v>0</v>
      </c>
      <c r="AY8" s="58">
        <f t="shared" si="43"/>
        <v>211.1266433023311</v>
      </c>
      <c r="AZ8" s="61">
        <f t="shared" si="20"/>
        <v>0</v>
      </c>
      <c r="BA8" s="59">
        <f t="shared" si="44"/>
        <v>211.1266433023311</v>
      </c>
      <c r="BB8" s="61">
        <f t="shared" si="21"/>
        <v>0</v>
      </c>
      <c r="BC8" s="59">
        <f t="shared" si="45"/>
        <v>0</v>
      </c>
      <c r="BD8" s="59">
        <f t="shared" si="46"/>
        <v>0</v>
      </c>
      <c r="BE8" s="60">
        <f t="shared" si="47"/>
        <v>0</v>
      </c>
    </row>
    <row r="9" spans="1:57" ht="16.5" customHeight="1" x14ac:dyDescent="0.25">
      <c r="A9" s="208" t="s">
        <v>16</v>
      </c>
      <c r="B9" s="209">
        <v>234</v>
      </c>
      <c r="C9" s="210" t="s">
        <v>9</v>
      </c>
      <c r="D9" s="207" t="s">
        <v>204</v>
      </c>
      <c r="F9" s="55">
        <f t="shared" si="22"/>
        <v>0.77712125471966242</v>
      </c>
      <c r="G9" s="56">
        <f t="shared" si="48"/>
        <v>5.9857869449066392</v>
      </c>
      <c r="H9" s="57">
        <f t="shared" si="0"/>
        <v>2.9857869449066392</v>
      </c>
      <c r="I9" s="56">
        <f t="shared" si="1"/>
        <v>195.21710927259932</v>
      </c>
      <c r="J9" s="57">
        <f t="shared" si="2"/>
        <v>212.2068093159595</v>
      </c>
      <c r="K9" s="56">
        <f t="shared" si="3"/>
        <v>221.65574823639179</v>
      </c>
      <c r="L9" s="57">
        <f t="shared" si="4"/>
        <v>209.4996756634892</v>
      </c>
      <c r="M9" s="58">
        <f t="shared" si="5"/>
        <v>0</v>
      </c>
      <c r="N9" s="59">
        <f t="shared" si="5"/>
        <v>0</v>
      </c>
      <c r="O9" s="59">
        <f t="shared" si="6"/>
        <v>0</v>
      </c>
      <c r="P9" s="59">
        <f t="shared" si="7"/>
        <v>0</v>
      </c>
      <c r="Q9" s="59">
        <f t="shared" si="8"/>
        <v>0</v>
      </c>
      <c r="R9" s="59">
        <f t="shared" si="9"/>
        <v>0</v>
      </c>
      <c r="S9" s="59">
        <f t="shared" si="23"/>
        <v>0</v>
      </c>
      <c r="T9" s="59">
        <f t="shared" si="24"/>
        <v>0</v>
      </c>
      <c r="U9" s="59">
        <f t="shared" si="25"/>
        <v>0</v>
      </c>
      <c r="V9" s="59">
        <f t="shared" si="10"/>
        <v>0</v>
      </c>
      <c r="W9" s="59">
        <f t="shared" si="10"/>
        <v>0</v>
      </c>
      <c r="X9" s="59">
        <f t="shared" si="26"/>
        <v>0</v>
      </c>
      <c r="Y9" s="60">
        <f t="shared" si="27"/>
        <v>0</v>
      </c>
      <c r="Z9" s="58">
        <f t="shared" si="28"/>
        <v>0</v>
      </c>
      <c r="AA9" s="59">
        <f t="shared" si="29"/>
        <v>0</v>
      </c>
      <c r="AB9" s="59">
        <f t="shared" si="30"/>
        <v>0</v>
      </c>
      <c r="AC9" s="60">
        <f t="shared" si="31"/>
        <v>0</v>
      </c>
      <c r="AD9" s="58">
        <f t="shared" si="11"/>
        <v>212.19788232711673</v>
      </c>
      <c r="AE9" s="61">
        <f t="shared" si="12"/>
        <v>0</v>
      </c>
      <c r="AF9" s="59">
        <f t="shared" si="13"/>
        <v>212.19788232711673</v>
      </c>
      <c r="AG9" s="61">
        <f t="shared" si="14"/>
        <v>0</v>
      </c>
      <c r="AH9" s="62">
        <f t="shared" si="32"/>
        <v>0</v>
      </c>
      <c r="AI9" s="59">
        <f t="shared" si="33"/>
        <v>0</v>
      </c>
      <c r="AJ9" s="60">
        <f t="shared" si="34"/>
        <v>0</v>
      </c>
      <c r="AK9" s="58">
        <f t="shared" si="15"/>
        <v>192.46349404335035</v>
      </c>
      <c r="AL9" s="61">
        <f t="shared" si="16"/>
        <v>0</v>
      </c>
      <c r="AM9" s="59">
        <f t="shared" si="17"/>
        <v>192.46349404335035</v>
      </c>
      <c r="AN9" s="61">
        <f t="shared" si="16"/>
        <v>0</v>
      </c>
      <c r="AO9" s="59">
        <f t="shared" si="35"/>
        <v>0</v>
      </c>
      <c r="AP9" s="59">
        <f t="shared" si="36"/>
        <v>0</v>
      </c>
      <c r="AQ9" s="60">
        <f t="shared" si="37"/>
        <v>0</v>
      </c>
      <c r="AR9" s="58">
        <f t="shared" si="38"/>
        <v>185.33740583307127</v>
      </c>
      <c r="AS9" s="61">
        <f t="shared" si="18"/>
        <v>0</v>
      </c>
      <c r="AT9" s="59">
        <f t="shared" si="39"/>
        <v>185.33740583307127</v>
      </c>
      <c r="AU9" s="61">
        <f t="shared" si="19"/>
        <v>0</v>
      </c>
      <c r="AV9" s="59">
        <f t="shared" si="40"/>
        <v>0</v>
      </c>
      <c r="AW9" s="59">
        <f t="shared" si="41"/>
        <v>0</v>
      </c>
      <c r="AX9" s="60">
        <f t="shared" si="42"/>
        <v>0</v>
      </c>
      <c r="AY9" s="58">
        <f t="shared" si="43"/>
        <v>210.12504424081263</v>
      </c>
      <c r="AZ9" s="61">
        <f t="shared" si="20"/>
        <v>0</v>
      </c>
      <c r="BA9" s="59">
        <f t="shared" si="44"/>
        <v>210.12504424081263</v>
      </c>
      <c r="BB9" s="61">
        <f t="shared" si="21"/>
        <v>0</v>
      </c>
      <c r="BC9" s="59">
        <f t="shared" si="45"/>
        <v>0</v>
      </c>
      <c r="BD9" s="59">
        <f t="shared" si="46"/>
        <v>0</v>
      </c>
      <c r="BE9" s="60">
        <f t="shared" si="47"/>
        <v>0</v>
      </c>
    </row>
    <row r="10" spans="1:57" x14ac:dyDescent="0.25">
      <c r="A10" s="211" t="s">
        <v>108</v>
      </c>
      <c r="B10" s="212">
        <v>50</v>
      </c>
      <c r="C10" s="213" t="s">
        <v>165</v>
      </c>
      <c r="D10" s="214" t="s">
        <v>202</v>
      </c>
      <c r="F10" s="55">
        <f>F9+dlog10R</f>
        <v>0.8771212547196624</v>
      </c>
      <c r="G10" s="56">
        <f t="shared" si="48"/>
        <v>7.5356592945287408</v>
      </c>
      <c r="H10" s="57">
        <f t="shared" si="0"/>
        <v>4.5356592945287408</v>
      </c>
      <c r="I10" s="56">
        <f t="shared" si="1"/>
        <v>194.21509617341866</v>
      </c>
      <c r="J10" s="57">
        <f t="shared" si="2"/>
        <v>211.20479621677885</v>
      </c>
      <c r="K10" s="56">
        <f t="shared" si="3"/>
        <v>220.45233050427581</v>
      </c>
      <c r="L10" s="57">
        <f t="shared" si="4"/>
        <v>208.34736059943143</v>
      </c>
      <c r="M10" s="58">
        <f t="shared" si="5"/>
        <v>0</v>
      </c>
      <c r="N10" s="59">
        <f t="shared" si="5"/>
        <v>0</v>
      </c>
      <c r="O10" s="59">
        <f t="shared" si="6"/>
        <v>0</v>
      </c>
      <c r="P10" s="59">
        <f t="shared" si="7"/>
        <v>0</v>
      </c>
      <c r="Q10" s="59">
        <f t="shared" si="8"/>
        <v>0</v>
      </c>
      <c r="R10" s="59">
        <f t="shared" si="9"/>
        <v>0</v>
      </c>
      <c r="S10" s="59">
        <f t="shared" si="23"/>
        <v>0</v>
      </c>
      <c r="T10" s="59">
        <f t="shared" si="24"/>
        <v>0</v>
      </c>
      <c r="U10" s="59">
        <f t="shared" si="25"/>
        <v>0</v>
      </c>
      <c r="V10" s="59">
        <f t="shared" si="10"/>
        <v>0</v>
      </c>
      <c r="W10" s="59">
        <f t="shared" si="10"/>
        <v>0</v>
      </c>
      <c r="X10" s="59">
        <f t="shared" si="26"/>
        <v>0</v>
      </c>
      <c r="Y10" s="60">
        <f t="shared" si="27"/>
        <v>0</v>
      </c>
      <c r="Z10" s="58">
        <f t="shared" si="28"/>
        <v>0</v>
      </c>
      <c r="AA10" s="59">
        <f t="shared" si="29"/>
        <v>0</v>
      </c>
      <c r="AB10" s="59">
        <f t="shared" si="30"/>
        <v>0</v>
      </c>
      <c r="AC10" s="60">
        <f t="shared" si="31"/>
        <v>0</v>
      </c>
      <c r="AD10" s="58">
        <f t="shared" si="11"/>
        <v>211.19586922793607</v>
      </c>
      <c r="AE10" s="61">
        <f t="shared" si="12"/>
        <v>0</v>
      </c>
      <c r="AF10" s="59">
        <f t="shared" si="13"/>
        <v>211.19586922793607</v>
      </c>
      <c r="AG10" s="61">
        <f t="shared" si="14"/>
        <v>0</v>
      </c>
      <c r="AH10" s="62">
        <f t="shared" si="32"/>
        <v>0</v>
      </c>
      <c r="AI10" s="59">
        <f t="shared" si="33"/>
        <v>0</v>
      </c>
      <c r="AJ10" s="60">
        <f t="shared" si="34"/>
        <v>0</v>
      </c>
      <c r="AK10" s="58">
        <f t="shared" si="15"/>
        <v>191.46148094416969</v>
      </c>
      <c r="AL10" s="61">
        <f t="shared" si="16"/>
        <v>0</v>
      </c>
      <c r="AM10" s="59">
        <f t="shared" si="17"/>
        <v>191.46148094416969</v>
      </c>
      <c r="AN10" s="61">
        <f t="shared" si="16"/>
        <v>0</v>
      </c>
      <c r="AO10" s="59">
        <f t="shared" si="35"/>
        <v>0</v>
      </c>
      <c r="AP10" s="59">
        <f t="shared" si="36"/>
        <v>0</v>
      </c>
      <c r="AQ10" s="60">
        <f t="shared" si="37"/>
        <v>0</v>
      </c>
      <c r="AR10" s="58">
        <f t="shared" si="38"/>
        <v>184.33539273389061</v>
      </c>
      <c r="AS10" s="61">
        <f t="shared" si="18"/>
        <v>0</v>
      </c>
      <c r="AT10" s="59">
        <f t="shared" si="39"/>
        <v>184.33539273389061</v>
      </c>
      <c r="AU10" s="61">
        <f t="shared" si="19"/>
        <v>0</v>
      </c>
      <c r="AV10" s="59">
        <f t="shared" si="40"/>
        <v>0</v>
      </c>
      <c r="AW10" s="59">
        <f t="shared" si="41"/>
        <v>0</v>
      </c>
      <c r="AX10" s="60">
        <f t="shared" si="42"/>
        <v>0</v>
      </c>
      <c r="AY10" s="58">
        <f t="shared" si="43"/>
        <v>209.12303114163197</v>
      </c>
      <c r="AZ10" s="61">
        <f t="shared" si="20"/>
        <v>0</v>
      </c>
      <c r="BA10" s="59">
        <f t="shared" si="44"/>
        <v>209.12303114163197</v>
      </c>
      <c r="BB10" s="61">
        <f t="shared" si="21"/>
        <v>0</v>
      </c>
      <c r="BC10" s="59">
        <f t="shared" si="45"/>
        <v>0</v>
      </c>
      <c r="BD10" s="59">
        <f t="shared" si="46"/>
        <v>0</v>
      </c>
      <c r="BE10" s="60">
        <f t="shared" si="47"/>
        <v>0</v>
      </c>
    </row>
    <row r="11" spans="1:57" ht="15" customHeight="1" thickBot="1" x14ac:dyDescent="0.3">
      <c r="A11" s="215" t="s">
        <v>205</v>
      </c>
      <c r="B11" s="216">
        <v>6</v>
      </c>
      <c r="C11" s="217" t="s">
        <v>9</v>
      </c>
      <c r="D11" s="218"/>
      <c r="F11" s="55">
        <f t="shared" si="22"/>
        <v>0.97712125471966238</v>
      </c>
      <c r="G11" s="56">
        <f t="shared" si="48"/>
        <v>9.4868329805051381</v>
      </c>
      <c r="H11" s="57">
        <f t="shared" si="0"/>
        <v>6.4868329805051381</v>
      </c>
      <c r="I11" s="56">
        <f t="shared" si="1"/>
        <v>193.21256183170371</v>
      </c>
      <c r="J11" s="57">
        <f t="shared" si="2"/>
        <v>210.2022618750639</v>
      </c>
      <c r="K11" s="56">
        <f t="shared" si="3"/>
        <v>219.24828675987615</v>
      </c>
      <c r="L11" s="57">
        <f t="shared" si="4"/>
        <v>207.19444610645925</v>
      </c>
      <c r="M11" s="58">
        <f t="shared" si="5"/>
        <v>0</v>
      </c>
      <c r="N11" s="59">
        <f t="shared" si="5"/>
        <v>0</v>
      </c>
      <c r="O11" s="59">
        <f t="shared" si="6"/>
        <v>0</v>
      </c>
      <c r="P11" s="59">
        <f t="shared" si="7"/>
        <v>0</v>
      </c>
      <c r="Q11" s="59">
        <f t="shared" si="8"/>
        <v>0</v>
      </c>
      <c r="R11" s="59">
        <f t="shared" si="9"/>
        <v>0</v>
      </c>
      <c r="S11" s="59">
        <f t="shared" si="23"/>
        <v>0</v>
      </c>
      <c r="T11" s="59">
        <f t="shared" si="24"/>
        <v>0</v>
      </c>
      <c r="U11" s="59">
        <f t="shared" si="25"/>
        <v>0</v>
      </c>
      <c r="V11" s="59">
        <f t="shared" si="10"/>
        <v>0</v>
      </c>
      <c r="W11" s="59">
        <f t="shared" si="10"/>
        <v>0</v>
      </c>
      <c r="X11" s="59">
        <f t="shared" si="26"/>
        <v>0</v>
      </c>
      <c r="Y11" s="60">
        <f t="shared" si="27"/>
        <v>0</v>
      </c>
      <c r="Z11" s="58">
        <f t="shared" si="28"/>
        <v>9.9820853112952044</v>
      </c>
      <c r="AA11" s="59">
        <f t="shared" si="29"/>
        <v>0</v>
      </c>
      <c r="AB11" s="59">
        <f t="shared" si="30"/>
        <v>0</v>
      </c>
      <c r="AC11" s="60">
        <f t="shared" si="31"/>
        <v>0</v>
      </c>
      <c r="AD11" s="58">
        <f t="shared" si="11"/>
        <v>210.19333488622112</v>
      </c>
      <c r="AE11" s="61">
        <f t="shared" si="12"/>
        <v>0</v>
      </c>
      <c r="AF11" s="59">
        <f t="shared" si="13"/>
        <v>210.19333488622112</v>
      </c>
      <c r="AG11" s="61">
        <f t="shared" si="14"/>
        <v>0</v>
      </c>
      <c r="AH11" s="62">
        <f t="shared" si="32"/>
        <v>9.9930340433518197</v>
      </c>
      <c r="AI11" s="59">
        <f t="shared" si="33"/>
        <v>0</v>
      </c>
      <c r="AJ11" s="60">
        <f t="shared" si="34"/>
        <v>0</v>
      </c>
      <c r="AK11" s="58">
        <f t="shared" si="15"/>
        <v>190.45894660245474</v>
      </c>
      <c r="AL11" s="61">
        <f t="shared" si="16"/>
        <v>0</v>
      </c>
      <c r="AM11" s="59">
        <f t="shared" si="17"/>
        <v>190.45894660245474</v>
      </c>
      <c r="AN11" s="61">
        <f>IF((AM11&gt;AN$3)*AND(AM12&lt;AN$3),$G11+(AN$3-AM11)*($G12-$G11)/(AM12-AM11),0)</f>
        <v>0</v>
      </c>
      <c r="AO11" s="59">
        <f t="shared" si="35"/>
        <v>0</v>
      </c>
      <c r="AP11" s="59">
        <f t="shared" si="36"/>
        <v>0</v>
      </c>
      <c r="AQ11" s="60">
        <f t="shared" si="37"/>
        <v>0</v>
      </c>
      <c r="AR11" s="58">
        <f t="shared" si="38"/>
        <v>183.33285839217567</v>
      </c>
      <c r="AS11" s="61">
        <f t="shared" si="18"/>
        <v>0</v>
      </c>
      <c r="AT11" s="59">
        <f t="shared" si="39"/>
        <v>183.33285839217567</v>
      </c>
      <c r="AU11" s="61">
        <f t="shared" si="19"/>
        <v>0</v>
      </c>
      <c r="AV11" s="59">
        <f t="shared" si="40"/>
        <v>0</v>
      </c>
      <c r="AW11" s="59">
        <f t="shared" si="41"/>
        <v>0</v>
      </c>
      <c r="AX11" s="60">
        <f t="shared" si="42"/>
        <v>0</v>
      </c>
      <c r="AY11" s="58">
        <f t="shared" si="43"/>
        <v>208.12049679991702</v>
      </c>
      <c r="AZ11" s="61">
        <f t="shared" si="20"/>
        <v>0</v>
      </c>
      <c r="BA11" s="59">
        <f t="shared" si="44"/>
        <v>208.12049679991702</v>
      </c>
      <c r="BB11" s="61">
        <f t="shared" si="21"/>
        <v>0</v>
      </c>
      <c r="BC11" s="59">
        <f t="shared" si="45"/>
        <v>0</v>
      </c>
      <c r="BD11" s="59">
        <f t="shared" si="46"/>
        <v>0</v>
      </c>
      <c r="BE11" s="60">
        <f t="shared" si="47"/>
        <v>0</v>
      </c>
    </row>
    <row r="12" spans="1:57" ht="15.75" thickBot="1" x14ac:dyDescent="0.3">
      <c r="A12" s="321" t="s">
        <v>235</v>
      </c>
      <c r="B12" s="322"/>
      <c r="C12" s="322"/>
      <c r="D12" s="323"/>
      <c r="F12" s="55">
        <f t="shared" si="22"/>
        <v>1.0771212547196625</v>
      </c>
      <c r="G12" s="56">
        <f t="shared" si="48"/>
        <v>11.943215116604922</v>
      </c>
      <c r="H12" s="57">
        <f t="shared" si="0"/>
        <v>8.9432151166049216</v>
      </c>
      <c r="I12" s="56">
        <f t="shared" si="1"/>
        <v>192.20937128451655</v>
      </c>
      <c r="J12" s="57">
        <f t="shared" si="2"/>
        <v>209.19907132787674</v>
      </c>
      <c r="K12" s="56">
        <f t="shared" si="3"/>
        <v>218.04345491270439</v>
      </c>
      <c r="L12" s="57">
        <f t="shared" si="4"/>
        <v>206.04077697719401</v>
      </c>
      <c r="M12" s="58">
        <f t="shared" si="5"/>
        <v>0</v>
      </c>
      <c r="N12" s="59">
        <f t="shared" si="5"/>
        <v>0</v>
      </c>
      <c r="O12" s="59">
        <f t="shared" si="6"/>
        <v>0</v>
      </c>
      <c r="P12" s="59">
        <f t="shared" si="7"/>
        <v>0</v>
      </c>
      <c r="Q12" s="59">
        <f t="shared" si="8"/>
        <v>0</v>
      </c>
      <c r="R12" s="59">
        <f t="shared" si="9"/>
        <v>0</v>
      </c>
      <c r="S12" s="59">
        <f t="shared" si="23"/>
        <v>0</v>
      </c>
      <c r="T12" s="59">
        <f t="shared" si="24"/>
        <v>0</v>
      </c>
      <c r="U12" s="59">
        <f t="shared" si="25"/>
        <v>0</v>
      </c>
      <c r="V12" s="59">
        <f t="shared" si="10"/>
        <v>0</v>
      </c>
      <c r="W12" s="59">
        <f t="shared" si="10"/>
        <v>0</v>
      </c>
      <c r="X12" s="59">
        <f t="shared" si="26"/>
        <v>0</v>
      </c>
      <c r="Y12" s="60">
        <f t="shared" si="27"/>
        <v>0</v>
      </c>
      <c r="Z12" s="58">
        <f t="shared" si="28"/>
        <v>0</v>
      </c>
      <c r="AA12" s="59">
        <f t="shared" si="29"/>
        <v>0</v>
      </c>
      <c r="AB12" s="59">
        <f t="shared" si="30"/>
        <v>0</v>
      </c>
      <c r="AC12" s="60">
        <f t="shared" si="31"/>
        <v>0</v>
      </c>
      <c r="AD12" s="58">
        <f t="shared" si="11"/>
        <v>209.19014433903396</v>
      </c>
      <c r="AE12" s="61">
        <f t="shared" si="12"/>
        <v>0</v>
      </c>
      <c r="AF12" s="59">
        <f t="shared" si="13"/>
        <v>209.19014433903396</v>
      </c>
      <c r="AG12" s="61">
        <f t="shared" si="14"/>
        <v>0</v>
      </c>
      <c r="AH12" s="62">
        <f t="shared" si="32"/>
        <v>0</v>
      </c>
      <c r="AI12" s="59">
        <f t="shared" si="33"/>
        <v>0</v>
      </c>
      <c r="AJ12" s="60">
        <f t="shared" si="34"/>
        <v>0</v>
      </c>
      <c r="AK12" s="58">
        <f t="shared" si="15"/>
        <v>189.45575605526759</v>
      </c>
      <c r="AL12" s="61">
        <f t="shared" si="16"/>
        <v>0</v>
      </c>
      <c r="AM12" s="59">
        <f t="shared" si="17"/>
        <v>189.45575605526759</v>
      </c>
      <c r="AN12" s="61">
        <f t="shared" si="16"/>
        <v>0</v>
      </c>
      <c r="AO12" s="59">
        <f t="shared" si="35"/>
        <v>0</v>
      </c>
      <c r="AP12" s="59">
        <f t="shared" si="36"/>
        <v>0</v>
      </c>
      <c r="AQ12" s="60">
        <f t="shared" si="37"/>
        <v>0</v>
      </c>
      <c r="AR12" s="58">
        <f t="shared" si="38"/>
        <v>182.32966784498851</v>
      </c>
      <c r="AS12" s="61">
        <f t="shared" si="18"/>
        <v>0</v>
      </c>
      <c r="AT12" s="59">
        <f t="shared" si="39"/>
        <v>182.32966784498851</v>
      </c>
      <c r="AU12" s="61">
        <f t="shared" si="19"/>
        <v>0</v>
      </c>
      <c r="AV12" s="59">
        <f t="shared" si="40"/>
        <v>0</v>
      </c>
      <c r="AW12" s="59">
        <f t="shared" si="41"/>
        <v>0</v>
      </c>
      <c r="AX12" s="60">
        <f t="shared" si="42"/>
        <v>0</v>
      </c>
      <c r="AY12" s="58">
        <f t="shared" si="43"/>
        <v>207.11730625272986</v>
      </c>
      <c r="AZ12" s="61">
        <f t="shared" si="20"/>
        <v>0</v>
      </c>
      <c r="BA12" s="59">
        <f t="shared" si="44"/>
        <v>207.11730625272986</v>
      </c>
      <c r="BB12" s="61">
        <f t="shared" si="21"/>
        <v>0</v>
      </c>
      <c r="BC12" s="59">
        <f t="shared" si="45"/>
        <v>12.054657626609085</v>
      </c>
      <c r="BD12" s="59">
        <f t="shared" si="46"/>
        <v>0</v>
      </c>
      <c r="BE12" s="60">
        <f t="shared" si="47"/>
        <v>0</v>
      </c>
    </row>
    <row r="13" spans="1:57" x14ac:dyDescent="0.25">
      <c r="A13" s="219" t="s">
        <v>0</v>
      </c>
      <c r="B13" s="220">
        <v>1500</v>
      </c>
      <c r="C13" s="221" t="s">
        <v>1</v>
      </c>
      <c r="D13" s="222" t="s">
        <v>7</v>
      </c>
      <c r="F13" s="55">
        <f t="shared" si="22"/>
        <v>1.1771212547196626</v>
      </c>
      <c r="G13" s="56">
        <f t="shared" si="48"/>
        <v>15.03561700881818</v>
      </c>
      <c r="H13" s="57">
        <f t="shared" si="0"/>
        <v>12.03561700881818</v>
      </c>
      <c r="I13" s="56">
        <f t="shared" si="1"/>
        <v>191.20535462358512</v>
      </c>
      <c r="J13" s="57">
        <f t="shared" si="2"/>
        <v>208.19505466694531</v>
      </c>
      <c r="K13" s="56">
        <f t="shared" si="3"/>
        <v>216.83763090292572</v>
      </c>
      <c r="L13" s="57">
        <f t="shared" si="4"/>
        <v>204.88615781712286</v>
      </c>
      <c r="M13" s="58">
        <f t="shared" si="5"/>
        <v>0</v>
      </c>
      <c r="N13" s="59">
        <f t="shared" si="5"/>
        <v>0</v>
      </c>
      <c r="O13" s="59">
        <f t="shared" si="6"/>
        <v>0</v>
      </c>
      <c r="P13" s="59">
        <f t="shared" si="7"/>
        <v>0</v>
      </c>
      <c r="Q13" s="59">
        <f t="shared" si="8"/>
        <v>0</v>
      </c>
      <c r="R13" s="59">
        <f t="shared" si="9"/>
        <v>0</v>
      </c>
      <c r="S13" s="59">
        <f t="shared" si="23"/>
        <v>0</v>
      </c>
      <c r="T13" s="59">
        <f t="shared" si="24"/>
        <v>0</v>
      </c>
      <c r="U13" s="59">
        <f t="shared" si="25"/>
        <v>0</v>
      </c>
      <c r="V13" s="59">
        <f t="shared" si="10"/>
        <v>0</v>
      </c>
      <c r="W13" s="59">
        <f t="shared" si="10"/>
        <v>0</v>
      </c>
      <c r="X13" s="59">
        <f t="shared" si="26"/>
        <v>0</v>
      </c>
      <c r="Y13" s="60">
        <f t="shared" si="27"/>
        <v>0</v>
      </c>
      <c r="Z13" s="58">
        <f t="shared" si="28"/>
        <v>0</v>
      </c>
      <c r="AA13" s="59">
        <f t="shared" si="29"/>
        <v>0</v>
      </c>
      <c r="AB13" s="59">
        <f t="shared" si="30"/>
        <v>0</v>
      </c>
      <c r="AC13" s="60">
        <f t="shared" si="31"/>
        <v>0</v>
      </c>
      <c r="AD13" s="58">
        <f t="shared" si="11"/>
        <v>208.18612767810254</v>
      </c>
      <c r="AE13" s="61">
        <f t="shared" si="12"/>
        <v>0</v>
      </c>
      <c r="AF13" s="59">
        <f t="shared" si="13"/>
        <v>208.18612767810254</v>
      </c>
      <c r="AG13" s="61">
        <f t="shared" si="14"/>
        <v>0</v>
      </c>
      <c r="AH13" s="62">
        <f t="shared" si="32"/>
        <v>0</v>
      </c>
      <c r="AI13" s="59">
        <f t="shared" si="33"/>
        <v>0</v>
      </c>
      <c r="AJ13" s="60">
        <f t="shared" si="34"/>
        <v>0</v>
      </c>
      <c r="AK13" s="58">
        <f t="shared" si="15"/>
        <v>188.45173939433616</v>
      </c>
      <c r="AL13" s="61">
        <f t="shared" si="16"/>
        <v>0</v>
      </c>
      <c r="AM13" s="59">
        <f t="shared" si="17"/>
        <v>188.45173939433616</v>
      </c>
      <c r="AN13" s="61">
        <f t="shared" si="16"/>
        <v>0</v>
      </c>
      <c r="AO13" s="59">
        <f t="shared" si="35"/>
        <v>0</v>
      </c>
      <c r="AP13" s="59">
        <f t="shared" si="36"/>
        <v>0</v>
      </c>
      <c r="AQ13" s="60">
        <f t="shared" si="37"/>
        <v>0</v>
      </c>
      <c r="AR13" s="58">
        <f t="shared" si="38"/>
        <v>181.32565118405708</v>
      </c>
      <c r="AS13" s="61">
        <f t="shared" si="18"/>
        <v>0</v>
      </c>
      <c r="AT13" s="59">
        <f t="shared" si="39"/>
        <v>181.32565118405708</v>
      </c>
      <c r="AU13" s="61">
        <f t="shared" si="19"/>
        <v>0</v>
      </c>
      <c r="AV13" s="59">
        <f t="shared" si="40"/>
        <v>0</v>
      </c>
      <c r="AW13" s="59">
        <f t="shared" si="41"/>
        <v>0</v>
      </c>
      <c r="AX13" s="60">
        <f t="shared" si="42"/>
        <v>0</v>
      </c>
      <c r="AY13" s="58">
        <f t="shared" si="43"/>
        <v>206.11328959179843</v>
      </c>
      <c r="AZ13" s="61">
        <f t="shared" si="20"/>
        <v>0</v>
      </c>
      <c r="BA13" s="59">
        <f t="shared" si="44"/>
        <v>206.11328959179843</v>
      </c>
      <c r="BB13" s="61">
        <f t="shared" si="21"/>
        <v>0</v>
      </c>
      <c r="BC13" s="59">
        <f t="shared" si="45"/>
        <v>0</v>
      </c>
      <c r="BD13" s="59">
        <f t="shared" si="46"/>
        <v>0</v>
      </c>
      <c r="BE13" s="60">
        <f t="shared" si="47"/>
        <v>0</v>
      </c>
    </row>
    <row r="14" spans="1:57" ht="17.25" x14ac:dyDescent="0.25">
      <c r="A14" s="223" t="s">
        <v>22</v>
      </c>
      <c r="B14" s="224">
        <v>1029</v>
      </c>
      <c r="C14" s="225" t="s">
        <v>166</v>
      </c>
      <c r="D14" s="226" t="s">
        <v>217</v>
      </c>
      <c r="F14" s="55">
        <f t="shared" si="22"/>
        <v>1.2771212547196626</v>
      </c>
      <c r="G14" s="56">
        <f t="shared" si="48"/>
        <v>18.92872033440581</v>
      </c>
      <c r="H14" s="57">
        <f t="shared" si="0"/>
        <v>15.92872033440581</v>
      </c>
      <c r="I14" s="56">
        <f t="shared" si="1"/>
        <v>190.20029794706798</v>
      </c>
      <c r="J14" s="57">
        <f t="shared" si="2"/>
        <v>207.18999799042817</v>
      </c>
      <c r="K14" s="56">
        <f t="shared" si="3"/>
        <v>215.63055783442866</v>
      </c>
      <c r="L14" s="57">
        <f t="shared" si="4"/>
        <v>203.73034263912817</v>
      </c>
      <c r="M14" s="58">
        <f t="shared" si="5"/>
        <v>0</v>
      </c>
      <c r="N14" s="59">
        <f t="shared" si="5"/>
        <v>0</v>
      </c>
      <c r="O14" s="59">
        <f t="shared" si="6"/>
        <v>0</v>
      </c>
      <c r="P14" s="59">
        <f t="shared" si="7"/>
        <v>0</v>
      </c>
      <c r="Q14" s="59">
        <f t="shared" si="8"/>
        <v>0</v>
      </c>
      <c r="R14" s="59">
        <f t="shared" si="9"/>
        <v>0</v>
      </c>
      <c r="S14" s="59">
        <f t="shared" si="23"/>
        <v>0</v>
      </c>
      <c r="T14" s="59">
        <f t="shared" si="24"/>
        <v>0</v>
      </c>
      <c r="U14" s="59">
        <f t="shared" si="25"/>
        <v>0</v>
      </c>
      <c r="V14" s="59">
        <f t="shared" si="10"/>
        <v>0</v>
      </c>
      <c r="W14" s="59">
        <f t="shared" si="10"/>
        <v>0</v>
      </c>
      <c r="X14" s="59">
        <f t="shared" si="26"/>
        <v>0</v>
      </c>
      <c r="Y14" s="60">
        <f t="shared" si="27"/>
        <v>0</v>
      </c>
      <c r="Z14" s="58">
        <f t="shared" si="28"/>
        <v>0</v>
      </c>
      <c r="AA14" s="59">
        <f t="shared" si="29"/>
        <v>0</v>
      </c>
      <c r="AB14" s="59">
        <f t="shared" si="30"/>
        <v>0</v>
      </c>
      <c r="AC14" s="60">
        <f t="shared" si="31"/>
        <v>0</v>
      </c>
      <c r="AD14" s="58">
        <f t="shared" si="11"/>
        <v>207.18107100158539</v>
      </c>
      <c r="AE14" s="61">
        <f t="shared" si="12"/>
        <v>0</v>
      </c>
      <c r="AF14" s="59">
        <f t="shared" si="13"/>
        <v>207.18107100158539</v>
      </c>
      <c r="AG14" s="61">
        <f t="shared" si="14"/>
        <v>0</v>
      </c>
      <c r="AH14" s="62">
        <f t="shared" si="32"/>
        <v>0</v>
      </c>
      <c r="AI14" s="59">
        <f t="shared" si="33"/>
        <v>0</v>
      </c>
      <c r="AJ14" s="60">
        <f t="shared" si="34"/>
        <v>0</v>
      </c>
      <c r="AK14" s="58">
        <f t="shared" si="15"/>
        <v>187.44668271781902</v>
      </c>
      <c r="AL14" s="61">
        <f t="shared" si="16"/>
        <v>0</v>
      </c>
      <c r="AM14" s="59">
        <f t="shared" si="17"/>
        <v>187.44668271781902</v>
      </c>
      <c r="AN14" s="61">
        <f t="shared" si="16"/>
        <v>0</v>
      </c>
      <c r="AO14" s="59">
        <f t="shared" si="35"/>
        <v>0</v>
      </c>
      <c r="AP14" s="59">
        <f t="shared" si="36"/>
        <v>0</v>
      </c>
      <c r="AQ14" s="60">
        <f t="shared" si="37"/>
        <v>0</v>
      </c>
      <c r="AR14" s="58">
        <f t="shared" si="38"/>
        <v>180.32059450753994</v>
      </c>
      <c r="AS14" s="61">
        <f t="shared" si="18"/>
        <v>0</v>
      </c>
      <c r="AT14" s="59">
        <f t="shared" si="39"/>
        <v>180.32059450753994</v>
      </c>
      <c r="AU14" s="61">
        <f t="shared" si="19"/>
        <v>0</v>
      </c>
      <c r="AV14" s="59">
        <f t="shared" si="40"/>
        <v>0</v>
      </c>
      <c r="AW14" s="59">
        <f t="shared" si="41"/>
        <v>0</v>
      </c>
      <c r="AX14" s="60">
        <f t="shared" si="42"/>
        <v>0</v>
      </c>
      <c r="AY14" s="58">
        <f t="shared" si="43"/>
        <v>205.10823291528129</v>
      </c>
      <c r="AZ14" s="61">
        <f t="shared" si="20"/>
        <v>0</v>
      </c>
      <c r="BA14" s="59">
        <f t="shared" si="44"/>
        <v>205.10823291528129</v>
      </c>
      <c r="BB14" s="61">
        <f t="shared" si="21"/>
        <v>0</v>
      </c>
      <c r="BC14" s="59">
        <f t="shared" si="45"/>
        <v>0</v>
      </c>
      <c r="BD14" s="59">
        <f t="shared" si="46"/>
        <v>0</v>
      </c>
      <c r="BE14" s="60">
        <f t="shared" si="47"/>
        <v>0</v>
      </c>
    </row>
    <row r="15" spans="1:57" x14ac:dyDescent="0.25">
      <c r="A15" s="223" t="s">
        <v>104</v>
      </c>
      <c r="B15" s="224">
        <v>1.5</v>
      </c>
      <c r="C15" s="225" t="s">
        <v>4</v>
      </c>
      <c r="D15" s="222" t="s">
        <v>8</v>
      </c>
      <c r="F15" s="55">
        <f t="shared" si="22"/>
        <v>1.3771212547196627</v>
      </c>
      <c r="G15" s="56">
        <f t="shared" si="48"/>
        <v>23.82984704172847</v>
      </c>
      <c r="H15" s="57">
        <f t="shared" si="0"/>
        <v>20.82984704172847</v>
      </c>
      <c r="I15" s="56">
        <f t="shared" si="1"/>
        <v>189.19393196850132</v>
      </c>
      <c r="J15" s="57">
        <f t="shared" si="2"/>
        <v>206.1836320118615</v>
      </c>
      <c r="K15" s="56">
        <f t="shared" si="3"/>
        <v>214.42191229417008</v>
      </c>
      <c r="L15" s="57">
        <f t="shared" si="4"/>
        <v>202.5730217637765</v>
      </c>
      <c r="M15" s="58">
        <f t="shared" si="5"/>
        <v>0</v>
      </c>
      <c r="N15" s="59">
        <f t="shared" si="5"/>
        <v>0</v>
      </c>
      <c r="O15" s="59">
        <f t="shared" si="6"/>
        <v>0</v>
      </c>
      <c r="P15" s="59">
        <f t="shared" si="7"/>
        <v>0</v>
      </c>
      <c r="Q15" s="59">
        <f t="shared" si="8"/>
        <v>0</v>
      </c>
      <c r="R15" s="59">
        <f t="shared" si="9"/>
        <v>0</v>
      </c>
      <c r="S15" s="59">
        <f t="shared" si="23"/>
        <v>0</v>
      </c>
      <c r="T15" s="59">
        <f t="shared" si="24"/>
        <v>0</v>
      </c>
      <c r="U15" s="59">
        <f t="shared" si="25"/>
        <v>0</v>
      </c>
      <c r="V15" s="59">
        <f t="shared" si="10"/>
        <v>0</v>
      </c>
      <c r="W15" s="59">
        <f t="shared" si="10"/>
        <v>0</v>
      </c>
      <c r="X15" s="59">
        <f t="shared" si="26"/>
        <v>0</v>
      </c>
      <c r="Y15" s="60">
        <f t="shared" si="27"/>
        <v>0</v>
      </c>
      <c r="Z15" s="58">
        <f t="shared" si="28"/>
        <v>0</v>
      </c>
      <c r="AA15" s="59">
        <f t="shared" si="29"/>
        <v>0</v>
      </c>
      <c r="AB15" s="59">
        <f t="shared" si="30"/>
        <v>0</v>
      </c>
      <c r="AC15" s="60">
        <f t="shared" si="31"/>
        <v>0</v>
      </c>
      <c r="AD15" s="58">
        <f t="shared" si="11"/>
        <v>206.17470502301873</v>
      </c>
      <c r="AE15" s="61">
        <f t="shared" si="12"/>
        <v>0</v>
      </c>
      <c r="AF15" s="59">
        <f t="shared" si="13"/>
        <v>206.17470502301873</v>
      </c>
      <c r="AG15" s="61">
        <f t="shared" si="14"/>
        <v>0</v>
      </c>
      <c r="AH15" s="62">
        <f t="shared" si="32"/>
        <v>0</v>
      </c>
      <c r="AI15" s="59">
        <f t="shared" si="33"/>
        <v>0</v>
      </c>
      <c r="AJ15" s="60">
        <f t="shared" si="34"/>
        <v>0</v>
      </c>
      <c r="AK15" s="58">
        <f t="shared" si="15"/>
        <v>186.44031673925235</v>
      </c>
      <c r="AL15" s="61">
        <f t="shared" si="16"/>
        <v>0</v>
      </c>
      <c r="AM15" s="59">
        <f t="shared" si="17"/>
        <v>186.44031673925235</v>
      </c>
      <c r="AN15" s="61">
        <f t="shared" si="16"/>
        <v>0</v>
      </c>
      <c r="AO15" s="59">
        <f t="shared" si="35"/>
        <v>0</v>
      </c>
      <c r="AP15" s="59">
        <f t="shared" si="36"/>
        <v>0</v>
      </c>
      <c r="AQ15" s="60">
        <f t="shared" si="37"/>
        <v>0</v>
      </c>
      <c r="AR15" s="58">
        <f t="shared" si="38"/>
        <v>179.31422852897327</v>
      </c>
      <c r="AS15" s="61">
        <f t="shared" si="18"/>
        <v>0</v>
      </c>
      <c r="AT15" s="59">
        <f t="shared" si="39"/>
        <v>179.31422852897327</v>
      </c>
      <c r="AU15" s="61">
        <f t="shared" si="19"/>
        <v>0</v>
      </c>
      <c r="AV15" s="59">
        <f t="shared" si="40"/>
        <v>0</v>
      </c>
      <c r="AW15" s="59">
        <f t="shared" si="41"/>
        <v>0</v>
      </c>
      <c r="AX15" s="60">
        <f t="shared" si="42"/>
        <v>0</v>
      </c>
      <c r="AY15" s="58">
        <f t="shared" si="43"/>
        <v>204.10186693671463</v>
      </c>
      <c r="AZ15" s="61">
        <f t="shared" si="20"/>
        <v>0</v>
      </c>
      <c r="BA15" s="59">
        <f t="shared" si="44"/>
        <v>204.10186693671463</v>
      </c>
      <c r="BB15" s="61">
        <f t="shared" si="21"/>
        <v>0</v>
      </c>
      <c r="BC15" s="59">
        <f t="shared" si="45"/>
        <v>0</v>
      </c>
      <c r="BD15" s="59">
        <f t="shared" si="46"/>
        <v>0</v>
      </c>
      <c r="BE15" s="60">
        <f t="shared" si="47"/>
        <v>0</v>
      </c>
    </row>
    <row r="16" spans="1:57" ht="30" x14ac:dyDescent="0.25">
      <c r="A16" s="223" t="s">
        <v>5</v>
      </c>
      <c r="B16" s="224">
        <v>0.27829999999999999</v>
      </c>
      <c r="C16" s="225" t="s">
        <v>6</v>
      </c>
      <c r="D16" s="222" t="s">
        <v>199</v>
      </c>
      <c r="F16" s="55">
        <f t="shared" si="22"/>
        <v>1.4771212547196628</v>
      </c>
      <c r="G16" s="56">
        <f t="shared" si="48"/>
        <v>30.000000000000043</v>
      </c>
      <c r="H16" s="57">
        <f t="shared" si="0"/>
        <v>27.000000000000043</v>
      </c>
      <c r="I16" s="56">
        <f t="shared" si="1"/>
        <v>188.18591767631281</v>
      </c>
      <c r="J16" s="57">
        <f t="shared" si="2"/>
        <v>205.175617719673</v>
      </c>
      <c r="K16" s="56">
        <f t="shared" si="3"/>
        <v>213.2112871292517</v>
      </c>
      <c r="L16" s="57">
        <f t="shared" si="4"/>
        <v>201.41380532775972</v>
      </c>
      <c r="M16" s="58">
        <f t="shared" si="5"/>
        <v>0</v>
      </c>
      <c r="N16" s="59">
        <f t="shared" si="5"/>
        <v>0</v>
      </c>
      <c r="O16" s="59">
        <f t="shared" si="6"/>
        <v>0</v>
      </c>
      <c r="P16" s="59">
        <f t="shared" si="7"/>
        <v>0</v>
      </c>
      <c r="Q16" s="59">
        <f t="shared" si="8"/>
        <v>0</v>
      </c>
      <c r="R16" s="59">
        <f t="shared" si="9"/>
        <v>0</v>
      </c>
      <c r="S16" s="59">
        <f t="shared" si="23"/>
        <v>31.352901422562354</v>
      </c>
      <c r="T16" s="59">
        <f t="shared" si="24"/>
        <v>0</v>
      </c>
      <c r="U16" s="59">
        <f t="shared" si="25"/>
        <v>0</v>
      </c>
      <c r="V16" s="59">
        <f t="shared" si="10"/>
        <v>0</v>
      </c>
      <c r="W16" s="59">
        <f t="shared" si="10"/>
        <v>0</v>
      </c>
      <c r="X16" s="59">
        <f t="shared" si="26"/>
        <v>0</v>
      </c>
      <c r="Y16" s="60">
        <f t="shared" si="27"/>
        <v>0</v>
      </c>
      <c r="Z16" s="58">
        <f t="shared" si="28"/>
        <v>0</v>
      </c>
      <c r="AA16" s="59">
        <f t="shared" si="29"/>
        <v>0</v>
      </c>
      <c r="AB16" s="59">
        <f t="shared" si="30"/>
        <v>0</v>
      </c>
      <c r="AC16" s="60">
        <f t="shared" si="31"/>
        <v>0</v>
      </c>
      <c r="AD16" s="58">
        <f t="shared" si="11"/>
        <v>205.16669073083023</v>
      </c>
      <c r="AE16" s="61">
        <f t="shared" si="12"/>
        <v>0</v>
      </c>
      <c r="AF16" s="59">
        <f t="shared" si="13"/>
        <v>205.16669073083023</v>
      </c>
      <c r="AG16" s="61">
        <f t="shared" si="14"/>
        <v>0</v>
      </c>
      <c r="AH16" s="62">
        <f t="shared" si="32"/>
        <v>0</v>
      </c>
      <c r="AI16" s="59">
        <f t="shared" si="33"/>
        <v>31.352901422562354</v>
      </c>
      <c r="AJ16" s="60">
        <f t="shared" si="34"/>
        <v>0</v>
      </c>
      <c r="AK16" s="58">
        <f t="shared" si="15"/>
        <v>185.43230244706385</v>
      </c>
      <c r="AL16" s="61">
        <f t="shared" si="16"/>
        <v>33.324480671468955</v>
      </c>
      <c r="AM16" s="59">
        <f t="shared" si="17"/>
        <v>185.43230244706385</v>
      </c>
      <c r="AN16" s="61">
        <f t="shared" si="16"/>
        <v>0</v>
      </c>
      <c r="AO16" s="59">
        <f t="shared" si="35"/>
        <v>0</v>
      </c>
      <c r="AP16" s="59">
        <f t="shared" si="36"/>
        <v>0</v>
      </c>
      <c r="AQ16" s="60">
        <f t="shared" si="37"/>
        <v>0</v>
      </c>
      <c r="AR16" s="58">
        <f t="shared" si="38"/>
        <v>178.30621423678477</v>
      </c>
      <c r="AS16" s="61">
        <f t="shared" si="18"/>
        <v>0</v>
      </c>
      <c r="AT16" s="59">
        <f t="shared" si="39"/>
        <v>178.30621423678477</v>
      </c>
      <c r="AU16" s="61">
        <f t="shared" si="19"/>
        <v>0</v>
      </c>
      <c r="AV16" s="59">
        <f t="shared" si="40"/>
        <v>0</v>
      </c>
      <c r="AW16" s="59">
        <f t="shared" si="41"/>
        <v>0</v>
      </c>
      <c r="AX16" s="60">
        <f t="shared" si="42"/>
        <v>0</v>
      </c>
      <c r="AY16" s="58">
        <f t="shared" si="43"/>
        <v>203.09385264452612</v>
      </c>
      <c r="AZ16" s="61">
        <f t="shared" si="20"/>
        <v>0</v>
      </c>
      <c r="BA16" s="59">
        <f t="shared" si="44"/>
        <v>203.09385264452612</v>
      </c>
      <c r="BB16" s="61">
        <f t="shared" si="21"/>
        <v>0</v>
      </c>
      <c r="BC16" s="59">
        <f t="shared" si="45"/>
        <v>0</v>
      </c>
      <c r="BD16" s="59">
        <f t="shared" si="46"/>
        <v>37.756043096898011</v>
      </c>
      <c r="BE16" s="60">
        <f t="shared" si="47"/>
        <v>0</v>
      </c>
    </row>
    <row r="17" spans="1:57" ht="30.75" thickBot="1" x14ac:dyDescent="0.3">
      <c r="A17" s="119" t="s">
        <v>11</v>
      </c>
      <c r="B17" s="227">
        <v>17</v>
      </c>
      <c r="C17" s="228" t="s">
        <v>12</v>
      </c>
      <c r="D17" s="229" t="s">
        <v>105</v>
      </c>
      <c r="F17" s="55">
        <f t="shared" si="22"/>
        <v>1.5771212547196629</v>
      </c>
      <c r="G17" s="63">
        <f t="shared" si="48"/>
        <v>37.76776235382507</v>
      </c>
      <c r="H17" s="57">
        <f t="shared" si="0"/>
        <v>34.76776235382507</v>
      </c>
      <c r="I17" s="56">
        <f t="shared" si="1"/>
        <v>187.17582828021918</v>
      </c>
      <c r="J17" s="57">
        <f t="shared" si="2"/>
        <v>204.16552832357937</v>
      </c>
      <c r="K17" s="56">
        <f t="shared" si="3"/>
        <v>211.99816976454323</v>
      </c>
      <c r="L17" s="57">
        <f t="shared" si="4"/>
        <v>200.25220252225205</v>
      </c>
      <c r="M17" s="58">
        <f t="shared" si="5"/>
        <v>0</v>
      </c>
      <c r="N17" s="59">
        <f t="shared" si="5"/>
        <v>0</v>
      </c>
      <c r="O17" s="59">
        <f t="shared" si="6"/>
        <v>0</v>
      </c>
      <c r="P17" s="59">
        <f t="shared" si="7"/>
        <v>0</v>
      </c>
      <c r="Q17" s="59">
        <f t="shared" si="8"/>
        <v>0</v>
      </c>
      <c r="R17" s="59">
        <f t="shared" si="9"/>
        <v>0</v>
      </c>
      <c r="S17" s="59">
        <f t="shared" si="23"/>
        <v>0</v>
      </c>
      <c r="T17" s="59">
        <f t="shared" si="24"/>
        <v>0</v>
      </c>
      <c r="U17" s="59">
        <f t="shared" si="25"/>
        <v>0</v>
      </c>
      <c r="V17" s="59">
        <f t="shared" si="10"/>
        <v>0</v>
      </c>
      <c r="W17" s="59">
        <f t="shared" si="10"/>
        <v>0</v>
      </c>
      <c r="X17" s="59">
        <f t="shared" si="26"/>
        <v>0</v>
      </c>
      <c r="Y17" s="60">
        <f t="shared" si="27"/>
        <v>0</v>
      </c>
      <c r="Z17" s="58">
        <f t="shared" si="28"/>
        <v>0</v>
      </c>
      <c r="AA17" s="59">
        <f t="shared" si="29"/>
        <v>0</v>
      </c>
      <c r="AB17" s="59">
        <f t="shared" si="30"/>
        <v>0</v>
      </c>
      <c r="AC17" s="60">
        <f t="shared" si="31"/>
        <v>0</v>
      </c>
      <c r="AD17" s="58">
        <f t="shared" si="11"/>
        <v>204.15660133473659</v>
      </c>
      <c r="AE17" s="61">
        <f t="shared" si="12"/>
        <v>0</v>
      </c>
      <c r="AF17" s="59">
        <f t="shared" si="13"/>
        <v>204.15660133473659</v>
      </c>
      <c r="AG17" s="61">
        <f t="shared" si="14"/>
        <v>0</v>
      </c>
      <c r="AH17" s="62">
        <f t="shared" si="32"/>
        <v>0</v>
      </c>
      <c r="AI17" s="59">
        <f t="shared" si="33"/>
        <v>0</v>
      </c>
      <c r="AJ17" s="60">
        <f t="shared" si="34"/>
        <v>0</v>
      </c>
      <c r="AK17" s="58">
        <f t="shared" si="15"/>
        <v>184.42221305097021</v>
      </c>
      <c r="AL17" s="61">
        <f t="shared" si="16"/>
        <v>0</v>
      </c>
      <c r="AM17" s="59">
        <f t="shared" si="17"/>
        <v>184.42221305097021</v>
      </c>
      <c r="AN17" s="61">
        <f t="shared" si="16"/>
        <v>0</v>
      </c>
      <c r="AO17" s="59">
        <f t="shared" si="35"/>
        <v>0</v>
      </c>
      <c r="AP17" s="59">
        <f t="shared" si="36"/>
        <v>0</v>
      </c>
      <c r="AQ17" s="60">
        <f t="shared" si="37"/>
        <v>0</v>
      </c>
      <c r="AR17" s="58">
        <f t="shared" si="38"/>
        <v>177.29612484069114</v>
      </c>
      <c r="AS17" s="61">
        <f t="shared" si="18"/>
        <v>0</v>
      </c>
      <c r="AT17" s="59">
        <f t="shared" si="39"/>
        <v>177.29612484069114</v>
      </c>
      <c r="AU17" s="61">
        <f t="shared" si="19"/>
        <v>0</v>
      </c>
      <c r="AV17" s="59">
        <f t="shared" si="40"/>
        <v>0</v>
      </c>
      <c r="AW17" s="59">
        <f t="shared" si="41"/>
        <v>0</v>
      </c>
      <c r="AX17" s="60">
        <f t="shared" si="42"/>
        <v>0</v>
      </c>
      <c r="AY17" s="58">
        <f t="shared" si="43"/>
        <v>202.08376324843249</v>
      </c>
      <c r="AZ17" s="61">
        <f t="shared" si="20"/>
        <v>0</v>
      </c>
      <c r="BA17" s="59">
        <f t="shared" si="44"/>
        <v>202.08376324843249</v>
      </c>
      <c r="BB17" s="61">
        <f t="shared" si="21"/>
        <v>0</v>
      </c>
      <c r="BC17" s="59">
        <f t="shared" si="45"/>
        <v>0</v>
      </c>
      <c r="BD17" s="59">
        <f t="shared" si="46"/>
        <v>0</v>
      </c>
      <c r="BE17" s="60">
        <f t="shared" si="47"/>
        <v>0</v>
      </c>
    </row>
    <row r="18" spans="1:57" ht="15.75" thickBot="1" x14ac:dyDescent="0.3">
      <c r="A18" s="327" t="s">
        <v>109</v>
      </c>
      <c r="B18" s="327"/>
      <c r="C18" s="327"/>
      <c r="D18" s="327"/>
      <c r="F18" s="55">
        <f t="shared" si="22"/>
        <v>1.677121254719663</v>
      </c>
      <c r="G18" s="56">
        <f t="shared" si="48"/>
        <v>47.546795773833487</v>
      </c>
      <c r="H18" s="57">
        <f t="shared" si="0"/>
        <v>44.546795773833487</v>
      </c>
      <c r="I18" s="56">
        <f t="shared" si="1"/>
        <v>186.16312648308724</v>
      </c>
      <c r="J18" s="57">
        <f t="shared" si="2"/>
        <v>203.15282652644743</v>
      </c>
      <c r="K18" s="56">
        <f t="shared" si="3"/>
        <v>210.78191490618778</v>
      </c>
      <c r="L18" s="57">
        <f t="shared" si="4"/>
        <v>199.08759545555031</v>
      </c>
      <c r="M18" s="58">
        <f t="shared" si="5"/>
        <v>0</v>
      </c>
      <c r="N18" s="59">
        <f t="shared" si="5"/>
        <v>49.398642236295068</v>
      </c>
      <c r="O18" s="59">
        <f t="shared" si="6"/>
        <v>49.398642236295068</v>
      </c>
      <c r="P18" s="59">
        <f t="shared" si="7"/>
        <v>0</v>
      </c>
      <c r="Q18" s="59">
        <f t="shared" si="8"/>
        <v>0</v>
      </c>
      <c r="R18" s="59">
        <f t="shared" si="9"/>
        <v>0</v>
      </c>
      <c r="S18" s="59">
        <f t="shared" si="23"/>
        <v>0</v>
      </c>
      <c r="T18" s="59">
        <f t="shared" si="24"/>
        <v>0</v>
      </c>
      <c r="U18" s="59">
        <f t="shared" si="25"/>
        <v>0</v>
      </c>
      <c r="V18" s="59">
        <f t="shared" si="10"/>
        <v>0</v>
      </c>
      <c r="W18" s="59">
        <f t="shared" si="10"/>
        <v>0</v>
      </c>
      <c r="X18" s="59">
        <f t="shared" si="26"/>
        <v>0</v>
      </c>
      <c r="Y18" s="60">
        <f t="shared" si="27"/>
        <v>0</v>
      </c>
      <c r="Z18" s="58">
        <f t="shared" si="28"/>
        <v>0</v>
      </c>
      <c r="AA18" s="59">
        <f t="shared" si="29"/>
        <v>0</v>
      </c>
      <c r="AB18" s="59">
        <f t="shared" si="30"/>
        <v>0</v>
      </c>
      <c r="AC18" s="60">
        <f t="shared" si="31"/>
        <v>0</v>
      </c>
      <c r="AD18" s="58">
        <f t="shared" si="11"/>
        <v>203.14389953760465</v>
      </c>
      <c r="AE18" s="61">
        <f t="shared" si="12"/>
        <v>0</v>
      </c>
      <c r="AF18" s="59">
        <f t="shared" si="13"/>
        <v>203.14389953760465</v>
      </c>
      <c r="AG18" s="61">
        <f t="shared" si="14"/>
        <v>0</v>
      </c>
      <c r="AH18" s="62">
        <f t="shared" si="32"/>
        <v>0</v>
      </c>
      <c r="AI18" s="59">
        <f t="shared" si="33"/>
        <v>0</v>
      </c>
      <c r="AJ18" s="60">
        <f t="shared" si="34"/>
        <v>0</v>
      </c>
      <c r="AK18" s="58">
        <f t="shared" si="15"/>
        <v>183.40951125383828</v>
      </c>
      <c r="AL18" s="61">
        <f t="shared" si="16"/>
        <v>0</v>
      </c>
      <c r="AM18" s="59">
        <f t="shared" si="17"/>
        <v>183.40951125383828</v>
      </c>
      <c r="AN18" s="61">
        <f t="shared" si="16"/>
        <v>0</v>
      </c>
      <c r="AO18" s="59">
        <f t="shared" si="35"/>
        <v>0</v>
      </c>
      <c r="AP18" s="59">
        <f t="shared" si="36"/>
        <v>0</v>
      </c>
      <c r="AQ18" s="60">
        <f t="shared" si="37"/>
        <v>0</v>
      </c>
      <c r="AR18" s="58">
        <f t="shared" si="38"/>
        <v>176.2834230435592</v>
      </c>
      <c r="AS18" s="61">
        <f t="shared" si="18"/>
        <v>0</v>
      </c>
      <c r="AT18" s="59">
        <f t="shared" si="39"/>
        <v>176.2834230435592</v>
      </c>
      <c r="AU18" s="61">
        <f t="shared" si="19"/>
        <v>0</v>
      </c>
      <c r="AV18" s="59">
        <f t="shared" si="40"/>
        <v>0</v>
      </c>
      <c r="AW18" s="59">
        <f t="shared" si="41"/>
        <v>0</v>
      </c>
      <c r="AX18" s="60">
        <f t="shared" si="42"/>
        <v>0</v>
      </c>
      <c r="AY18" s="58">
        <f t="shared" si="43"/>
        <v>201.07106145130055</v>
      </c>
      <c r="AZ18" s="61">
        <f t="shared" si="20"/>
        <v>0</v>
      </c>
      <c r="BA18" s="59">
        <f t="shared" si="44"/>
        <v>201.07106145130055</v>
      </c>
      <c r="BB18" s="61">
        <f t="shared" si="21"/>
        <v>0</v>
      </c>
      <c r="BC18" s="59">
        <f t="shared" si="45"/>
        <v>0</v>
      </c>
      <c r="BD18" s="59">
        <f t="shared" si="46"/>
        <v>0</v>
      </c>
      <c r="BE18" s="60">
        <f t="shared" si="47"/>
        <v>0</v>
      </c>
    </row>
    <row r="19" spans="1:57" ht="15.75" thickBot="1" x14ac:dyDescent="0.3">
      <c r="A19" s="328" t="s">
        <v>110</v>
      </c>
      <c r="B19" s="329"/>
      <c r="C19" s="329"/>
      <c r="D19" s="330"/>
      <c r="F19" s="55">
        <f t="shared" si="22"/>
        <v>1.7771212547196631</v>
      </c>
      <c r="G19" s="56">
        <f t="shared" si="48"/>
        <v>59.857869449066513</v>
      </c>
      <c r="H19" s="57">
        <f t="shared" si="0"/>
        <v>56.857869449066513</v>
      </c>
      <c r="I19" s="56">
        <f t="shared" si="1"/>
        <v>185.14713586790239</v>
      </c>
      <c r="J19" s="57">
        <f t="shared" si="2"/>
        <v>202.13683591126258</v>
      </c>
      <c r="K19" s="56">
        <f t="shared" si="3"/>
        <v>209.56171017735076</v>
      </c>
      <c r="L19" s="57">
        <f t="shared" si="4"/>
        <v>197.91920624808773</v>
      </c>
      <c r="M19" s="58">
        <f t="shared" si="5"/>
        <v>0</v>
      </c>
      <c r="N19" s="59">
        <f t="shared" si="5"/>
        <v>0</v>
      </c>
      <c r="O19" s="59">
        <f t="shared" si="6"/>
        <v>0</v>
      </c>
      <c r="P19" s="59">
        <f t="shared" si="7"/>
        <v>0</v>
      </c>
      <c r="Q19" s="59">
        <f t="shared" si="8"/>
        <v>0</v>
      </c>
      <c r="R19" s="59">
        <f t="shared" si="9"/>
        <v>0</v>
      </c>
      <c r="S19" s="59">
        <f t="shared" si="23"/>
        <v>0</v>
      </c>
      <c r="T19" s="59">
        <f t="shared" si="24"/>
        <v>0</v>
      </c>
      <c r="U19" s="59">
        <f t="shared" si="25"/>
        <v>0</v>
      </c>
      <c r="V19" s="59">
        <f t="shared" si="10"/>
        <v>0</v>
      </c>
      <c r="W19" s="59">
        <f t="shared" si="10"/>
        <v>0</v>
      </c>
      <c r="X19" s="59">
        <f t="shared" si="26"/>
        <v>0</v>
      </c>
      <c r="Y19" s="60">
        <f t="shared" si="27"/>
        <v>0</v>
      </c>
      <c r="Z19" s="58">
        <f t="shared" si="28"/>
        <v>0</v>
      </c>
      <c r="AA19" s="59">
        <f t="shared" si="29"/>
        <v>0</v>
      </c>
      <c r="AB19" s="59">
        <f t="shared" si="30"/>
        <v>0</v>
      </c>
      <c r="AC19" s="60">
        <f t="shared" si="31"/>
        <v>0</v>
      </c>
      <c r="AD19" s="58">
        <f t="shared" si="11"/>
        <v>202.12790892241981</v>
      </c>
      <c r="AE19" s="61">
        <f t="shared" si="12"/>
        <v>0</v>
      </c>
      <c r="AF19" s="59">
        <f t="shared" si="13"/>
        <v>202.12790892241981</v>
      </c>
      <c r="AG19" s="61">
        <f t="shared" si="14"/>
        <v>0</v>
      </c>
      <c r="AH19" s="62">
        <f t="shared" si="32"/>
        <v>0</v>
      </c>
      <c r="AI19" s="59">
        <f t="shared" si="33"/>
        <v>0</v>
      </c>
      <c r="AJ19" s="60">
        <f t="shared" si="34"/>
        <v>0</v>
      </c>
      <c r="AK19" s="58">
        <f t="shared" si="15"/>
        <v>182.39352063865343</v>
      </c>
      <c r="AL19" s="61">
        <f t="shared" si="16"/>
        <v>0</v>
      </c>
      <c r="AM19" s="59">
        <f t="shared" si="17"/>
        <v>182.39352063865343</v>
      </c>
      <c r="AN19" s="61">
        <f t="shared" si="16"/>
        <v>0</v>
      </c>
      <c r="AO19" s="59">
        <f t="shared" si="35"/>
        <v>0</v>
      </c>
      <c r="AP19" s="59">
        <f t="shared" si="36"/>
        <v>0</v>
      </c>
      <c r="AQ19" s="60">
        <f t="shared" si="37"/>
        <v>0</v>
      </c>
      <c r="AR19" s="58">
        <f t="shared" si="38"/>
        <v>175.26743242837435</v>
      </c>
      <c r="AS19" s="61">
        <f t="shared" si="18"/>
        <v>0</v>
      </c>
      <c r="AT19" s="59">
        <f t="shared" si="39"/>
        <v>175.26743242837435</v>
      </c>
      <c r="AU19" s="61">
        <f t="shared" si="19"/>
        <v>0</v>
      </c>
      <c r="AV19" s="59">
        <f t="shared" si="40"/>
        <v>0</v>
      </c>
      <c r="AW19" s="59">
        <f t="shared" si="41"/>
        <v>0</v>
      </c>
      <c r="AX19" s="60">
        <f t="shared" si="42"/>
        <v>0</v>
      </c>
      <c r="AY19" s="58">
        <f t="shared" si="43"/>
        <v>200.0550708361157</v>
      </c>
      <c r="AZ19" s="61">
        <f t="shared" si="20"/>
        <v>0</v>
      </c>
      <c r="BA19" s="59">
        <f t="shared" si="44"/>
        <v>200.0550708361157</v>
      </c>
      <c r="BB19" s="61">
        <f t="shared" si="21"/>
        <v>0</v>
      </c>
      <c r="BC19" s="59">
        <f t="shared" si="45"/>
        <v>0</v>
      </c>
      <c r="BD19" s="59">
        <f t="shared" si="46"/>
        <v>0</v>
      </c>
      <c r="BE19" s="60">
        <f t="shared" si="47"/>
        <v>0</v>
      </c>
    </row>
    <row r="20" spans="1:57" ht="15.75" thickBot="1" x14ac:dyDescent="0.3">
      <c r="A20" s="230" t="s">
        <v>73</v>
      </c>
      <c r="B20" s="231" t="s">
        <v>72</v>
      </c>
      <c r="C20" s="231" t="s">
        <v>70</v>
      </c>
      <c r="D20" s="232" t="s">
        <v>71</v>
      </c>
      <c r="F20" s="55">
        <f t="shared" si="22"/>
        <v>1.8771212547196632</v>
      </c>
      <c r="G20" s="56">
        <f t="shared" si="48"/>
        <v>75.356592945287559</v>
      </c>
      <c r="H20" s="57">
        <f t="shared" si="0"/>
        <v>72.356592945287559</v>
      </c>
      <c r="I20" s="56">
        <f t="shared" si="1"/>
        <v>184.12700487609595</v>
      </c>
      <c r="J20" s="57">
        <f t="shared" si="2"/>
        <v>201.11670491945614</v>
      </c>
      <c r="K20" s="56">
        <f t="shared" si="3"/>
        <v>208.33653285619124</v>
      </c>
      <c r="L20" s="57">
        <f t="shared" si="4"/>
        <v>196.74605560751033</v>
      </c>
      <c r="M20" s="58">
        <f t="shared" si="5"/>
        <v>0</v>
      </c>
      <c r="N20" s="59">
        <f t="shared" si="5"/>
        <v>0</v>
      </c>
      <c r="O20" s="59">
        <f t="shared" si="6"/>
        <v>0</v>
      </c>
      <c r="P20" s="59">
        <f t="shared" si="7"/>
        <v>0</v>
      </c>
      <c r="Q20" s="59">
        <f t="shared" si="8"/>
        <v>0</v>
      </c>
      <c r="R20" s="59">
        <f t="shared" si="9"/>
        <v>0</v>
      </c>
      <c r="S20" s="59">
        <f t="shared" si="23"/>
        <v>0</v>
      </c>
      <c r="T20" s="59">
        <f t="shared" si="24"/>
        <v>0</v>
      </c>
      <c r="U20" s="59">
        <f t="shared" si="25"/>
        <v>0</v>
      </c>
      <c r="V20" s="59">
        <f t="shared" si="10"/>
        <v>0</v>
      </c>
      <c r="W20" s="59">
        <f t="shared" si="10"/>
        <v>0</v>
      </c>
      <c r="X20" s="59">
        <f t="shared" si="26"/>
        <v>0</v>
      </c>
      <c r="Y20" s="60">
        <f t="shared" si="27"/>
        <v>0</v>
      </c>
      <c r="Z20" s="58">
        <f t="shared" si="28"/>
        <v>0</v>
      </c>
      <c r="AA20" s="59">
        <f t="shared" si="29"/>
        <v>0</v>
      </c>
      <c r="AB20" s="59">
        <f t="shared" si="30"/>
        <v>0</v>
      </c>
      <c r="AC20" s="60">
        <f t="shared" si="31"/>
        <v>0</v>
      </c>
      <c r="AD20" s="58">
        <f t="shared" si="11"/>
        <v>201.10777793061337</v>
      </c>
      <c r="AE20" s="61">
        <f t="shared" si="12"/>
        <v>0</v>
      </c>
      <c r="AF20" s="59">
        <f t="shared" si="13"/>
        <v>201.10777793061337</v>
      </c>
      <c r="AG20" s="61">
        <f t="shared" si="14"/>
        <v>0</v>
      </c>
      <c r="AH20" s="62">
        <f t="shared" si="32"/>
        <v>0</v>
      </c>
      <c r="AI20" s="59">
        <f t="shared" si="33"/>
        <v>0</v>
      </c>
      <c r="AJ20" s="60">
        <f t="shared" si="34"/>
        <v>0</v>
      </c>
      <c r="AK20" s="58">
        <f t="shared" si="15"/>
        <v>181.37338964684699</v>
      </c>
      <c r="AL20" s="61">
        <f t="shared" si="16"/>
        <v>0</v>
      </c>
      <c r="AM20" s="59">
        <f t="shared" si="17"/>
        <v>181.37338964684699</v>
      </c>
      <c r="AN20" s="61">
        <f t="shared" si="16"/>
        <v>0</v>
      </c>
      <c r="AO20" s="59">
        <f t="shared" si="35"/>
        <v>0</v>
      </c>
      <c r="AP20" s="59">
        <f t="shared" si="36"/>
        <v>0</v>
      </c>
      <c r="AQ20" s="60">
        <f t="shared" si="37"/>
        <v>0</v>
      </c>
      <c r="AR20" s="58">
        <f t="shared" si="38"/>
        <v>174.24730143656791</v>
      </c>
      <c r="AS20" s="61">
        <f t="shared" si="18"/>
        <v>0</v>
      </c>
      <c r="AT20" s="59">
        <f t="shared" si="39"/>
        <v>174.24730143656791</v>
      </c>
      <c r="AU20" s="61">
        <f t="shared" si="19"/>
        <v>0</v>
      </c>
      <c r="AV20" s="59">
        <f t="shared" si="40"/>
        <v>0</v>
      </c>
      <c r="AW20" s="59">
        <f t="shared" si="41"/>
        <v>0</v>
      </c>
      <c r="AX20" s="60">
        <f t="shared" si="42"/>
        <v>0</v>
      </c>
      <c r="AY20" s="58">
        <f t="shared" si="43"/>
        <v>199.03493984430926</v>
      </c>
      <c r="AZ20" s="61">
        <f t="shared" si="20"/>
        <v>0</v>
      </c>
      <c r="BA20" s="59">
        <f t="shared" si="44"/>
        <v>199.03493984430926</v>
      </c>
      <c r="BB20" s="61">
        <f t="shared" si="21"/>
        <v>0</v>
      </c>
      <c r="BC20" s="59">
        <f t="shared" si="45"/>
        <v>0</v>
      </c>
      <c r="BD20" s="59">
        <f t="shared" si="46"/>
        <v>0</v>
      </c>
      <c r="BE20" s="60">
        <f t="shared" si="47"/>
        <v>0</v>
      </c>
    </row>
    <row r="21" spans="1:57" x14ac:dyDescent="0.25">
      <c r="A21" s="233" t="s">
        <v>63</v>
      </c>
      <c r="B21" s="234">
        <v>1.2010000000000001</v>
      </c>
      <c r="C21" s="235"/>
      <c r="D21" s="236" t="s">
        <v>66</v>
      </c>
      <c r="F21" s="55">
        <f t="shared" si="22"/>
        <v>1.9771212547196633</v>
      </c>
      <c r="G21" s="56">
        <f t="shared" si="48"/>
        <v>94.868329805051573</v>
      </c>
      <c r="H21" s="57">
        <f t="shared" si="0"/>
        <v>91.868329805051573</v>
      </c>
      <c r="I21" s="56">
        <f t="shared" si="1"/>
        <v>183.10166145894621</v>
      </c>
      <c r="J21" s="57">
        <f t="shared" si="2"/>
        <v>200.0913615023064</v>
      </c>
      <c r="K21" s="56">
        <f t="shared" si="3"/>
        <v>207.1050954121944</v>
      </c>
      <c r="L21" s="57">
        <f t="shared" si="4"/>
        <v>195.56691067778812</v>
      </c>
      <c r="M21" s="58">
        <f t="shared" si="5"/>
        <v>0</v>
      </c>
      <c r="N21" s="59">
        <f t="shared" si="5"/>
        <v>0</v>
      </c>
      <c r="O21" s="59">
        <f t="shared" si="6"/>
        <v>0</v>
      </c>
      <c r="P21" s="59">
        <f t="shared" si="7"/>
        <v>0</v>
      </c>
      <c r="Q21" s="59">
        <f t="shared" si="8"/>
        <v>0</v>
      </c>
      <c r="R21" s="59">
        <f t="shared" si="9"/>
        <v>0</v>
      </c>
      <c r="S21" s="59">
        <f t="shared" si="23"/>
        <v>0</v>
      </c>
      <c r="T21" s="59">
        <f t="shared" si="24"/>
        <v>96.951365755791258</v>
      </c>
      <c r="U21" s="59">
        <f t="shared" si="25"/>
        <v>96.951365755791258</v>
      </c>
      <c r="V21" s="59">
        <f t="shared" si="10"/>
        <v>0</v>
      </c>
      <c r="W21" s="59">
        <f t="shared" si="10"/>
        <v>0</v>
      </c>
      <c r="X21" s="59">
        <f t="shared" si="26"/>
        <v>116.77179280627522</v>
      </c>
      <c r="Y21" s="60">
        <f t="shared" si="27"/>
        <v>0</v>
      </c>
      <c r="Z21" s="58">
        <f t="shared" si="28"/>
        <v>0</v>
      </c>
      <c r="AA21" s="59">
        <f t="shared" si="29"/>
        <v>96.951365755791258</v>
      </c>
      <c r="AB21" s="59">
        <f t="shared" si="30"/>
        <v>0</v>
      </c>
      <c r="AC21" s="60">
        <f t="shared" si="31"/>
        <v>0</v>
      </c>
      <c r="AD21" s="58">
        <f t="shared" si="11"/>
        <v>200.08243451346362</v>
      </c>
      <c r="AE21" s="61">
        <f t="shared" si="12"/>
        <v>0</v>
      </c>
      <c r="AF21" s="59">
        <f t="shared" si="13"/>
        <v>200.08243451346362</v>
      </c>
      <c r="AG21" s="61">
        <f t="shared" si="14"/>
        <v>0</v>
      </c>
      <c r="AH21" s="62">
        <f t="shared" si="32"/>
        <v>0</v>
      </c>
      <c r="AI21" s="59">
        <f t="shared" si="33"/>
        <v>0</v>
      </c>
      <c r="AJ21" s="60">
        <f t="shared" si="34"/>
        <v>0</v>
      </c>
      <c r="AK21" s="58">
        <f t="shared" si="15"/>
        <v>180.34804622969725</v>
      </c>
      <c r="AL21" s="61">
        <f t="shared" si="16"/>
        <v>0</v>
      </c>
      <c r="AM21" s="59">
        <f t="shared" si="17"/>
        <v>180.34804622969725</v>
      </c>
      <c r="AN21" s="61">
        <f t="shared" si="16"/>
        <v>0</v>
      </c>
      <c r="AO21" s="59">
        <f t="shared" si="35"/>
        <v>0</v>
      </c>
      <c r="AP21" s="59">
        <f t="shared" si="36"/>
        <v>0</v>
      </c>
      <c r="AQ21" s="60">
        <f t="shared" si="37"/>
        <v>0</v>
      </c>
      <c r="AR21" s="58">
        <f t="shared" si="38"/>
        <v>173.22195801941817</v>
      </c>
      <c r="AS21" s="61">
        <f t="shared" si="18"/>
        <v>0</v>
      </c>
      <c r="AT21" s="59">
        <f t="shared" si="39"/>
        <v>173.22195801941817</v>
      </c>
      <c r="AU21" s="61">
        <f t="shared" si="19"/>
        <v>0</v>
      </c>
      <c r="AV21" s="59">
        <f t="shared" si="40"/>
        <v>0</v>
      </c>
      <c r="AW21" s="59">
        <f t="shared" si="41"/>
        <v>0</v>
      </c>
      <c r="AX21" s="60">
        <f t="shared" si="42"/>
        <v>0</v>
      </c>
      <c r="AY21" s="58">
        <f t="shared" si="43"/>
        <v>198.00959642715952</v>
      </c>
      <c r="AZ21" s="61">
        <f t="shared" si="20"/>
        <v>0</v>
      </c>
      <c r="BA21" s="59">
        <f t="shared" si="44"/>
        <v>198.00959642715952</v>
      </c>
      <c r="BB21" s="61">
        <f t="shared" si="21"/>
        <v>0</v>
      </c>
      <c r="BC21" s="59">
        <f t="shared" si="45"/>
        <v>0</v>
      </c>
      <c r="BD21" s="59">
        <f t="shared" si="46"/>
        <v>0</v>
      </c>
      <c r="BE21" s="60">
        <f t="shared" si="47"/>
        <v>0</v>
      </c>
    </row>
    <row r="22" spans="1:57" x14ac:dyDescent="0.25">
      <c r="A22" s="237" t="s">
        <v>64</v>
      </c>
      <c r="B22" s="238">
        <v>-12.8</v>
      </c>
      <c r="C22" s="239"/>
      <c r="D22" s="240"/>
      <c r="F22" s="55">
        <f t="shared" si="22"/>
        <v>2.0771212547196631</v>
      </c>
      <c r="G22" s="56">
        <f t="shared" si="48"/>
        <v>119.43215116604941</v>
      </c>
      <c r="H22" s="57">
        <f t="shared" si="0"/>
        <v>116.43215116604941</v>
      </c>
      <c r="I22" s="56">
        <f t="shared" si="1"/>
        <v>182.0697559870747</v>
      </c>
      <c r="J22" s="57">
        <f t="shared" si="2"/>
        <v>199.05945603043489</v>
      </c>
      <c r="K22" s="56">
        <f t="shared" si="3"/>
        <v>205.86577694047671</v>
      </c>
      <c r="L22" s="57">
        <f t="shared" si="4"/>
        <v>194.38021938513589</v>
      </c>
      <c r="M22" s="58">
        <f t="shared" ref="M22:N51" si="49">IF(($J22&gt;M$3)*AND($J23&lt;M$3),$G22+(M$3-$J22)*($G23-$G22)/($J23-$J22),0)</f>
        <v>0</v>
      </c>
      <c r="N22" s="59">
        <f t="shared" si="49"/>
        <v>0</v>
      </c>
      <c r="O22" s="59">
        <f t="shared" si="6"/>
        <v>0</v>
      </c>
      <c r="P22" s="59">
        <f t="shared" si="7"/>
        <v>0</v>
      </c>
      <c r="Q22" s="59">
        <f t="shared" si="8"/>
        <v>0</v>
      </c>
      <c r="R22" s="59">
        <f t="shared" si="9"/>
        <v>0</v>
      </c>
      <c r="S22" s="59">
        <f t="shared" si="23"/>
        <v>0</v>
      </c>
      <c r="T22" s="59">
        <f t="shared" si="24"/>
        <v>0</v>
      </c>
      <c r="U22" s="59">
        <f t="shared" si="25"/>
        <v>0</v>
      </c>
      <c r="V22" s="59">
        <f t="shared" ref="V22:W51" si="50">IF(($J22&gt;V$3)*AND($J23&lt;V$3),$G22+(V$3-$J22)*($G23-$G22)/($J23-$J22),0)</f>
        <v>0</v>
      </c>
      <c r="W22" s="59">
        <f t="shared" si="50"/>
        <v>0</v>
      </c>
      <c r="X22" s="59">
        <f t="shared" si="26"/>
        <v>0</v>
      </c>
      <c r="Y22" s="60">
        <f t="shared" si="27"/>
        <v>0</v>
      </c>
      <c r="Z22" s="58">
        <f t="shared" si="28"/>
        <v>0</v>
      </c>
      <c r="AA22" s="59">
        <f t="shared" si="29"/>
        <v>0</v>
      </c>
      <c r="AB22" s="59">
        <f t="shared" si="30"/>
        <v>0</v>
      </c>
      <c r="AC22" s="60">
        <f t="shared" si="31"/>
        <v>0</v>
      </c>
      <c r="AD22" s="58">
        <f t="shared" si="11"/>
        <v>199.05052904159211</v>
      </c>
      <c r="AE22" s="61">
        <f t="shared" si="12"/>
        <v>0</v>
      </c>
      <c r="AF22" s="59">
        <f t="shared" si="13"/>
        <v>199.05052904159211</v>
      </c>
      <c r="AG22" s="61">
        <f t="shared" si="14"/>
        <v>0</v>
      </c>
      <c r="AH22" s="62">
        <f t="shared" si="32"/>
        <v>0</v>
      </c>
      <c r="AI22" s="59">
        <f t="shared" si="33"/>
        <v>0</v>
      </c>
      <c r="AJ22" s="60">
        <f t="shared" si="34"/>
        <v>0</v>
      </c>
      <c r="AK22" s="58">
        <f t="shared" si="15"/>
        <v>179.31614075782574</v>
      </c>
      <c r="AL22" s="61">
        <f t="shared" si="16"/>
        <v>0</v>
      </c>
      <c r="AM22" s="59">
        <f t="shared" si="17"/>
        <v>179.31614075782574</v>
      </c>
      <c r="AN22" s="61">
        <f t="shared" si="16"/>
        <v>0</v>
      </c>
      <c r="AO22" s="59">
        <f t="shared" si="35"/>
        <v>0</v>
      </c>
      <c r="AP22" s="59">
        <f t="shared" si="36"/>
        <v>0</v>
      </c>
      <c r="AQ22" s="60">
        <f t="shared" si="37"/>
        <v>0</v>
      </c>
      <c r="AR22" s="58">
        <f t="shared" si="38"/>
        <v>172.19005254754666</v>
      </c>
      <c r="AS22" s="61">
        <f t="shared" si="18"/>
        <v>0</v>
      </c>
      <c r="AT22" s="59">
        <f t="shared" si="39"/>
        <v>172.19005254754666</v>
      </c>
      <c r="AU22" s="61">
        <f t="shared" si="19"/>
        <v>0</v>
      </c>
      <c r="AV22" s="59">
        <f t="shared" si="40"/>
        <v>0</v>
      </c>
      <c r="AW22" s="59">
        <f t="shared" si="41"/>
        <v>0</v>
      </c>
      <c r="AX22" s="60">
        <f t="shared" si="42"/>
        <v>0</v>
      </c>
      <c r="AY22" s="58">
        <f t="shared" si="43"/>
        <v>196.97769095528801</v>
      </c>
      <c r="AZ22" s="61">
        <f t="shared" si="20"/>
        <v>0</v>
      </c>
      <c r="BA22" s="59">
        <f t="shared" si="44"/>
        <v>196.97769095528801</v>
      </c>
      <c r="BB22" s="61">
        <f t="shared" si="21"/>
        <v>0</v>
      </c>
      <c r="BC22" s="59">
        <f t="shared" ref="BC22:BC51" si="51">IF(($K22&gt;BC$3)*AND($K23&lt;BC$3),$G22+(BC$3-$K22)*($G23-$G22)/($K23-$K22),0)</f>
        <v>0</v>
      </c>
      <c r="BD22" s="59">
        <f t="shared" ref="BD22:BD51" si="52">IF(($K22&gt;BD$3)*AND($K23&lt;BD$3),$G22+(BD$3-$K22)*($G23-$G22)/($K23-$K22),0)</f>
        <v>0</v>
      </c>
      <c r="BE22" s="60">
        <f t="shared" ref="BE22:BE51" si="53">IF(($L22&gt;BE$3)*AND($L23&lt;BE$3),$G22+(BE$3-$L22)*($G23-$G22)/($L23-$L22),0)</f>
        <v>0</v>
      </c>
    </row>
    <row r="23" spans="1:57" x14ac:dyDescent="0.25">
      <c r="A23" s="237" t="s">
        <v>61</v>
      </c>
      <c r="B23" s="238">
        <v>1.1499999999999999</v>
      </c>
      <c r="C23" s="239"/>
      <c r="D23" s="240" t="s">
        <v>66</v>
      </c>
      <c r="F23" s="55">
        <f t="shared" si="22"/>
        <v>2.1771212547196632</v>
      </c>
      <c r="G23" s="56">
        <f t="shared" si="48"/>
        <v>150.3561700881821</v>
      </c>
      <c r="H23" s="57">
        <f t="shared" si="0"/>
        <v>147.3561700881821</v>
      </c>
      <c r="I23" s="56">
        <f t="shared" si="1"/>
        <v>181.02958937776037</v>
      </c>
      <c r="J23" s="57">
        <f t="shared" si="2"/>
        <v>198.01928942112056</v>
      </c>
      <c r="K23" s="56">
        <f t="shared" si="3"/>
        <v>204.61653684269021</v>
      </c>
      <c r="L23" s="57">
        <f t="shared" si="4"/>
        <v>193.18402778442442</v>
      </c>
      <c r="M23" s="58">
        <f t="shared" si="49"/>
        <v>0</v>
      </c>
      <c r="N23" s="59">
        <f t="shared" si="49"/>
        <v>0</v>
      </c>
      <c r="O23" s="59">
        <f t="shared" si="6"/>
        <v>0</v>
      </c>
      <c r="P23" s="59">
        <f t="shared" si="7"/>
        <v>0</v>
      </c>
      <c r="Q23" s="59">
        <f t="shared" si="8"/>
        <v>0</v>
      </c>
      <c r="R23" s="59">
        <f t="shared" si="9"/>
        <v>0</v>
      </c>
      <c r="S23" s="59">
        <f t="shared" si="23"/>
        <v>0</v>
      </c>
      <c r="T23" s="59">
        <f t="shared" si="24"/>
        <v>0</v>
      </c>
      <c r="U23" s="59">
        <f t="shared" si="25"/>
        <v>0</v>
      </c>
      <c r="V23" s="59">
        <f t="shared" si="50"/>
        <v>0</v>
      </c>
      <c r="W23" s="59">
        <f t="shared" si="50"/>
        <v>0</v>
      </c>
      <c r="X23" s="59">
        <f t="shared" si="26"/>
        <v>0</v>
      </c>
      <c r="Y23" s="60">
        <f t="shared" si="27"/>
        <v>0</v>
      </c>
      <c r="Z23" s="58">
        <f t="shared" si="28"/>
        <v>0</v>
      </c>
      <c r="AA23" s="59">
        <f t="shared" si="29"/>
        <v>0</v>
      </c>
      <c r="AB23" s="59">
        <f t="shared" si="30"/>
        <v>0</v>
      </c>
      <c r="AC23" s="60">
        <f t="shared" si="31"/>
        <v>0</v>
      </c>
      <c r="AD23" s="58">
        <f t="shared" si="11"/>
        <v>198.01036243227779</v>
      </c>
      <c r="AE23" s="61">
        <f t="shared" si="12"/>
        <v>0</v>
      </c>
      <c r="AF23" s="59">
        <f t="shared" si="13"/>
        <v>198.01036243227779</v>
      </c>
      <c r="AG23" s="61">
        <f t="shared" si="14"/>
        <v>0</v>
      </c>
      <c r="AH23" s="62">
        <f t="shared" si="32"/>
        <v>0</v>
      </c>
      <c r="AI23" s="59">
        <f t="shared" si="33"/>
        <v>0</v>
      </c>
      <c r="AJ23" s="60">
        <f t="shared" si="34"/>
        <v>0</v>
      </c>
      <c r="AK23" s="58">
        <f t="shared" si="15"/>
        <v>178.27597414851141</v>
      </c>
      <c r="AL23" s="61">
        <f t="shared" si="16"/>
        <v>0</v>
      </c>
      <c r="AM23" s="59">
        <f t="shared" si="17"/>
        <v>178.27597414851141</v>
      </c>
      <c r="AN23" s="61">
        <f t="shared" si="16"/>
        <v>0</v>
      </c>
      <c r="AO23" s="59">
        <f t="shared" si="35"/>
        <v>0</v>
      </c>
      <c r="AP23" s="59">
        <f t="shared" si="36"/>
        <v>0</v>
      </c>
      <c r="AQ23" s="60">
        <f t="shared" si="37"/>
        <v>0</v>
      </c>
      <c r="AR23" s="58">
        <f t="shared" si="38"/>
        <v>171.14988593823233</v>
      </c>
      <c r="AS23" s="61">
        <f t="shared" si="18"/>
        <v>0</v>
      </c>
      <c r="AT23" s="59">
        <f t="shared" si="39"/>
        <v>171.14988593823233</v>
      </c>
      <c r="AU23" s="61">
        <f t="shared" si="19"/>
        <v>0</v>
      </c>
      <c r="AV23" s="59">
        <f t="shared" si="40"/>
        <v>0</v>
      </c>
      <c r="AW23" s="59">
        <f t="shared" si="41"/>
        <v>0</v>
      </c>
      <c r="AX23" s="60">
        <f t="shared" si="42"/>
        <v>0</v>
      </c>
      <c r="AY23" s="58">
        <f t="shared" si="43"/>
        <v>195.93752434597369</v>
      </c>
      <c r="AZ23" s="61">
        <f t="shared" si="20"/>
        <v>0</v>
      </c>
      <c r="BA23" s="59">
        <f t="shared" si="44"/>
        <v>195.93752434597369</v>
      </c>
      <c r="BB23" s="61">
        <f t="shared" si="21"/>
        <v>0</v>
      </c>
      <c r="BC23" s="59">
        <f t="shared" si="51"/>
        <v>0</v>
      </c>
      <c r="BD23" s="59">
        <f t="shared" si="52"/>
        <v>0</v>
      </c>
      <c r="BE23" s="60">
        <f t="shared" si="53"/>
        <v>0</v>
      </c>
    </row>
    <row r="24" spans="1:57" ht="15" customHeight="1" thickBot="1" x14ac:dyDescent="0.3">
      <c r="A24" s="241" t="s">
        <v>62</v>
      </c>
      <c r="B24" s="242">
        <v>-15</v>
      </c>
      <c r="C24" s="243"/>
      <c r="D24" s="244"/>
      <c r="F24" s="55">
        <f t="shared" si="22"/>
        <v>2.2771212547196633</v>
      </c>
      <c r="G24" s="56">
        <f t="shared" si="48"/>
        <v>189.28720334405847</v>
      </c>
      <c r="H24" s="57">
        <f t="shared" si="0"/>
        <v>186.28720334405847</v>
      </c>
      <c r="I24" s="56">
        <f t="shared" si="1"/>
        <v>179.97902261258898</v>
      </c>
      <c r="J24" s="57">
        <f t="shared" si="2"/>
        <v>196.96872265594916</v>
      </c>
      <c r="K24" s="56">
        <f t="shared" si="3"/>
        <v>203.35480615771937</v>
      </c>
      <c r="L24" s="57">
        <f t="shared" si="4"/>
        <v>191.9758760044773</v>
      </c>
      <c r="M24" s="58">
        <f t="shared" si="49"/>
        <v>0</v>
      </c>
      <c r="N24" s="59">
        <f t="shared" si="49"/>
        <v>0</v>
      </c>
      <c r="O24" s="59">
        <f t="shared" si="6"/>
        <v>0</v>
      </c>
      <c r="P24" s="59">
        <f t="shared" si="7"/>
        <v>0</v>
      </c>
      <c r="Q24" s="59">
        <f t="shared" si="8"/>
        <v>0</v>
      </c>
      <c r="R24" s="59">
        <f t="shared" si="9"/>
        <v>0</v>
      </c>
      <c r="S24" s="59">
        <f t="shared" si="23"/>
        <v>0</v>
      </c>
      <c r="T24" s="59">
        <f t="shared" si="24"/>
        <v>0</v>
      </c>
      <c r="U24" s="59">
        <f t="shared" si="25"/>
        <v>0</v>
      </c>
      <c r="V24" s="59">
        <f t="shared" si="50"/>
        <v>0</v>
      </c>
      <c r="W24" s="59">
        <f t="shared" si="50"/>
        <v>0</v>
      </c>
      <c r="X24" s="59">
        <f t="shared" si="26"/>
        <v>0</v>
      </c>
      <c r="Y24" s="60">
        <f t="shared" si="27"/>
        <v>0</v>
      </c>
      <c r="Z24" s="58">
        <f t="shared" si="28"/>
        <v>0</v>
      </c>
      <c r="AA24" s="59">
        <f t="shared" si="29"/>
        <v>0</v>
      </c>
      <c r="AB24" s="59">
        <f t="shared" si="30"/>
        <v>0</v>
      </c>
      <c r="AC24" s="60">
        <f t="shared" si="31"/>
        <v>0</v>
      </c>
      <c r="AD24" s="58">
        <f t="shared" si="11"/>
        <v>196.95979566710639</v>
      </c>
      <c r="AE24" s="61">
        <f t="shared" si="12"/>
        <v>0</v>
      </c>
      <c r="AF24" s="59">
        <f t="shared" si="13"/>
        <v>196.95979566710639</v>
      </c>
      <c r="AG24" s="61">
        <f t="shared" si="14"/>
        <v>0</v>
      </c>
      <c r="AH24" s="62">
        <f t="shared" si="32"/>
        <v>0</v>
      </c>
      <c r="AI24" s="59">
        <f t="shared" si="33"/>
        <v>0</v>
      </c>
      <c r="AJ24" s="60">
        <f t="shared" si="34"/>
        <v>0</v>
      </c>
      <c r="AK24" s="58">
        <f t="shared" si="15"/>
        <v>177.22540738334001</v>
      </c>
      <c r="AL24" s="61">
        <f t="shared" si="16"/>
        <v>0</v>
      </c>
      <c r="AM24" s="59">
        <f t="shared" si="17"/>
        <v>177.22540738334001</v>
      </c>
      <c r="AN24" s="61">
        <f t="shared" si="16"/>
        <v>0</v>
      </c>
      <c r="AO24" s="59">
        <f t="shared" si="35"/>
        <v>0</v>
      </c>
      <c r="AP24" s="59">
        <f t="shared" si="36"/>
        <v>0</v>
      </c>
      <c r="AQ24" s="60">
        <f t="shared" si="37"/>
        <v>0</v>
      </c>
      <c r="AR24" s="58">
        <f t="shared" si="38"/>
        <v>170.09931917306093</v>
      </c>
      <c r="AS24" s="61">
        <f t="shared" si="18"/>
        <v>0</v>
      </c>
      <c r="AT24" s="59">
        <f t="shared" si="39"/>
        <v>170.09931917306093</v>
      </c>
      <c r="AU24" s="61">
        <f t="shared" si="19"/>
        <v>0</v>
      </c>
      <c r="AV24" s="59">
        <f t="shared" si="40"/>
        <v>0</v>
      </c>
      <c r="AW24" s="59">
        <f t="shared" si="41"/>
        <v>0</v>
      </c>
      <c r="AX24" s="60">
        <f t="shared" si="42"/>
        <v>0</v>
      </c>
      <c r="AY24" s="58">
        <f t="shared" si="43"/>
        <v>194.88695758080229</v>
      </c>
      <c r="AZ24" s="61">
        <f t="shared" si="20"/>
        <v>0</v>
      </c>
      <c r="BA24" s="59">
        <f t="shared" si="44"/>
        <v>194.88695758080229</v>
      </c>
      <c r="BB24" s="61">
        <f t="shared" si="21"/>
        <v>0</v>
      </c>
      <c r="BC24" s="59">
        <f t="shared" si="51"/>
        <v>0</v>
      </c>
      <c r="BD24" s="59">
        <f t="shared" si="52"/>
        <v>0</v>
      </c>
      <c r="BE24" s="60">
        <f t="shared" si="53"/>
        <v>0</v>
      </c>
    </row>
    <row r="25" spans="1:57" ht="15.75" thickBot="1" x14ac:dyDescent="0.3">
      <c r="A25" s="312" t="s">
        <v>17</v>
      </c>
      <c r="B25" s="313"/>
      <c r="C25" s="313"/>
      <c r="D25" s="314"/>
      <c r="F25" s="55">
        <f t="shared" si="22"/>
        <v>2.3771212547196634</v>
      </c>
      <c r="G25" s="56">
        <f t="shared" si="48"/>
        <v>238.29847041728507</v>
      </c>
      <c r="H25" s="57">
        <f t="shared" si="0"/>
        <v>235.29847041728507</v>
      </c>
      <c r="I25" s="56">
        <f t="shared" si="1"/>
        <v>178.91536282692246</v>
      </c>
      <c r="J25" s="57">
        <f t="shared" si="2"/>
        <v>195.90506287028265</v>
      </c>
      <c r="K25" s="56">
        <f t="shared" si="3"/>
        <v>202.07735075513386</v>
      </c>
      <c r="L25" s="57">
        <f t="shared" si="4"/>
        <v>190.75266725096083</v>
      </c>
      <c r="M25" s="58">
        <f t="shared" si="49"/>
        <v>0</v>
      </c>
      <c r="N25" s="59">
        <f t="shared" si="49"/>
        <v>0</v>
      </c>
      <c r="O25" s="59">
        <f t="shared" si="6"/>
        <v>0</v>
      </c>
      <c r="P25" s="59">
        <f t="shared" si="7"/>
        <v>0</v>
      </c>
      <c r="Q25" s="59">
        <f t="shared" si="8"/>
        <v>0</v>
      </c>
      <c r="R25" s="59">
        <f t="shared" si="9"/>
        <v>0</v>
      </c>
      <c r="S25" s="59">
        <f t="shared" si="23"/>
        <v>0</v>
      </c>
      <c r="T25" s="59">
        <f t="shared" si="24"/>
        <v>0</v>
      </c>
      <c r="U25" s="59">
        <f t="shared" si="25"/>
        <v>0</v>
      </c>
      <c r="V25" s="59">
        <f t="shared" si="50"/>
        <v>0</v>
      </c>
      <c r="W25" s="59">
        <f t="shared" si="50"/>
        <v>0</v>
      </c>
      <c r="X25" s="59">
        <f t="shared" si="26"/>
        <v>0</v>
      </c>
      <c r="Y25" s="60">
        <f t="shared" si="27"/>
        <v>0</v>
      </c>
      <c r="Z25" s="58">
        <f t="shared" si="28"/>
        <v>0</v>
      </c>
      <c r="AA25" s="59">
        <f t="shared" si="29"/>
        <v>0</v>
      </c>
      <c r="AB25" s="59">
        <f t="shared" si="30"/>
        <v>0</v>
      </c>
      <c r="AC25" s="60">
        <f t="shared" si="31"/>
        <v>0</v>
      </c>
      <c r="AD25" s="58">
        <f t="shared" si="11"/>
        <v>195.89613588143987</v>
      </c>
      <c r="AE25" s="61">
        <f t="shared" si="12"/>
        <v>0</v>
      </c>
      <c r="AF25" s="59">
        <f t="shared" si="13"/>
        <v>195.89613588143987</v>
      </c>
      <c r="AG25" s="61">
        <f t="shared" si="14"/>
        <v>0</v>
      </c>
      <c r="AH25" s="62">
        <f t="shared" si="32"/>
        <v>0</v>
      </c>
      <c r="AI25" s="59">
        <f t="shared" si="33"/>
        <v>0</v>
      </c>
      <c r="AJ25" s="60">
        <f t="shared" si="34"/>
        <v>0</v>
      </c>
      <c r="AK25" s="58">
        <f t="shared" si="15"/>
        <v>176.1617475976735</v>
      </c>
      <c r="AL25" s="61">
        <f t="shared" si="16"/>
        <v>0</v>
      </c>
      <c r="AM25" s="59">
        <f t="shared" si="17"/>
        <v>176.1617475976735</v>
      </c>
      <c r="AN25" s="61">
        <f t="shared" si="16"/>
        <v>0</v>
      </c>
      <c r="AO25" s="59">
        <f t="shared" si="35"/>
        <v>0</v>
      </c>
      <c r="AP25" s="59">
        <f t="shared" si="36"/>
        <v>0</v>
      </c>
      <c r="AQ25" s="60">
        <f t="shared" si="37"/>
        <v>0</v>
      </c>
      <c r="AR25" s="58">
        <f t="shared" si="38"/>
        <v>169.03565938739442</v>
      </c>
      <c r="AS25" s="61">
        <f t="shared" si="18"/>
        <v>0</v>
      </c>
      <c r="AT25" s="59">
        <f t="shared" si="39"/>
        <v>169.03565938739442</v>
      </c>
      <c r="AU25" s="61">
        <f t="shared" si="19"/>
        <v>0</v>
      </c>
      <c r="AV25" s="59">
        <f t="shared" si="40"/>
        <v>241.97752521682241</v>
      </c>
      <c r="AW25" s="59">
        <f t="shared" si="41"/>
        <v>0</v>
      </c>
      <c r="AX25" s="60">
        <f t="shared" si="42"/>
        <v>0</v>
      </c>
      <c r="AY25" s="58">
        <f t="shared" si="43"/>
        <v>193.82329779513577</v>
      </c>
      <c r="AZ25" s="61">
        <f t="shared" si="20"/>
        <v>0</v>
      </c>
      <c r="BA25" s="59">
        <f t="shared" si="44"/>
        <v>193.82329779513577</v>
      </c>
      <c r="BB25" s="61">
        <f t="shared" si="21"/>
        <v>0</v>
      </c>
      <c r="BC25" s="59">
        <f t="shared" si="51"/>
        <v>0</v>
      </c>
      <c r="BD25" s="59">
        <f t="shared" si="52"/>
        <v>0</v>
      </c>
      <c r="BE25" s="60">
        <f t="shared" si="53"/>
        <v>0</v>
      </c>
    </row>
    <row r="26" spans="1:57" x14ac:dyDescent="0.25">
      <c r="A26" s="245" t="s">
        <v>18</v>
      </c>
      <c r="B26" s="245">
        <f>2*ACOS(0)</f>
        <v>3.1415926535897931</v>
      </c>
      <c r="C26" s="245"/>
      <c r="D26" s="246"/>
      <c r="F26" s="55">
        <f t="shared" si="22"/>
        <v>2.4771212547196635</v>
      </c>
      <c r="G26" s="56">
        <f t="shared" si="48"/>
        <v>300.00000000000074</v>
      </c>
      <c r="H26" s="57">
        <f t="shared" si="0"/>
        <v>297.00000000000074</v>
      </c>
      <c r="I26" s="56">
        <f t="shared" si="1"/>
        <v>177.83521990503749</v>
      </c>
      <c r="J26" s="57">
        <f t="shared" si="2"/>
        <v>194.82491994839768</v>
      </c>
      <c r="K26" s="56">
        <f t="shared" si="3"/>
        <v>200.78009910595003</v>
      </c>
      <c r="L26" s="57">
        <f t="shared" si="4"/>
        <v>189.51050289079311</v>
      </c>
      <c r="M26" s="58">
        <f t="shared" si="49"/>
        <v>0</v>
      </c>
      <c r="N26" s="59">
        <f t="shared" si="49"/>
        <v>0</v>
      </c>
      <c r="O26" s="59">
        <f t="shared" si="6"/>
        <v>0</v>
      </c>
      <c r="P26" s="59">
        <f t="shared" si="7"/>
        <v>0</v>
      </c>
      <c r="Q26" s="59">
        <f t="shared" si="8"/>
        <v>0</v>
      </c>
      <c r="R26" s="59">
        <f t="shared" si="9"/>
        <v>0</v>
      </c>
      <c r="S26" s="59">
        <f t="shared" si="23"/>
        <v>0</v>
      </c>
      <c r="T26" s="59">
        <f t="shared" si="24"/>
        <v>0</v>
      </c>
      <c r="U26" s="59">
        <f t="shared" si="25"/>
        <v>0</v>
      </c>
      <c r="V26" s="59">
        <f t="shared" si="50"/>
        <v>0</v>
      </c>
      <c r="W26" s="59">
        <f t="shared" si="50"/>
        <v>0</v>
      </c>
      <c r="X26" s="59">
        <f t="shared" si="26"/>
        <v>0</v>
      </c>
      <c r="Y26" s="60">
        <f t="shared" si="27"/>
        <v>0</v>
      </c>
      <c r="Z26" s="58">
        <f t="shared" si="28"/>
        <v>0</v>
      </c>
      <c r="AA26" s="59">
        <f t="shared" si="29"/>
        <v>0</v>
      </c>
      <c r="AB26" s="59">
        <f t="shared" si="30"/>
        <v>0</v>
      </c>
      <c r="AC26" s="60">
        <f t="shared" si="31"/>
        <v>0</v>
      </c>
      <c r="AD26" s="58">
        <f t="shared" si="11"/>
        <v>194.8159929595549</v>
      </c>
      <c r="AE26" s="61">
        <f t="shared" si="12"/>
        <v>0</v>
      </c>
      <c r="AF26" s="59">
        <f t="shared" si="13"/>
        <v>194.8159929595549</v>
      </c>
      <c r="AG26" s="61">
        <f t="shared" si="14"/>
        <v>0</v>
      </c>
      <c r="AH26" s="62">
        <f t="shared" si="32"/>
        <v>0</v>
      </c>
      <c r="AI26" s="59">
        <f t="shared" si="33"/>
        <v>0</v>
      </c>
      <c r="AJ26" s="60">
        <f t="shared" si="34"/>
        <v>0</v>
      </c>
      <c r="AK26" s="58">
        <f t="shared" si="15"/>
        <v>175.08160467578853</v>
      </c>
      <c r="AL26" s="61">
        <f t="shared" si="16"/>
        <v>0</v>
      </c>
      <c r="AM26" s="59">
        <f t="shared" si="17"/>
        <v>175.08160467578853</v>
      </c>
      <c r="AN26" s="61">
        <f t="shared" si="16"/>
        <v>0</v>
      </c>
      <c r="AO26" s="59">
        <f t="shared" si="35"/>
        <v>0</v>
      </c>
      <c r="AP26" s="59">
        <f t="shared" si="36"/>
        <v>0</v>
      </c>
      <c r="AQ26" s="60">
        <f t="shared" si="37"/>
        <v>0</v>
      </c>
      <c r="AR26" s="58">
        <f t="shared" si="38"/>
        <v>167.95551646550945</v>
      </c>
      <c r="AS26" s="61">
        <f t="shared" si="18"/>
        <v>0</v>
      </c>
      <c r="AT26" s="59">
        <f t="shared" si="39"/>
        <v>167.95551646550945</v>
      </c>
      <c r="AU26" s="61">
        <f t="shared" si="19"/>
        <v>0</v>
      </c>
      <c r="AV26" s="59">
        <f t="shared" si="40"/>
        <v>0</v>
      </c>
      <c r="AW26" s="59">
        <f t="shared" si="41"/>
        <v>0</v>
      </c>
      <c r="AX26" s="60">
        <f t="shared" si="42"/>
        <v>0</v>
      </c>
      <c r="AY26" s="58">
        <f t="shared" si="43"/>
        <v>192.7431548732508</v>
      </c>
      <c r="AZ26" s="61">
        <f t="shared" si="20"/>
        <v>0</v>
      </c>
      <c r="BA26" s="59">
        <f t="shared" si="44"/>
        <v>192.7431548732508</v>
      </c>
      <c r="BB26" s="61">
        <f t="shared" si="21"/>
        <v>0</v>
      </c>
      <c r="BC26" s="59">
        <f t="shared" si="51"/>
        <v>0</v>
      </c>
      <c r="BD26" s="59">
        <f t="shared" si="52"/>
        <v>0</v>
      </c>
      <c r="BE26" s="60">
        <f t="shared" si="53"/>
        <v>0</v>
      </c>
    </row>
    <row r="27" spans="1:57" ht="15.75" thickBot="1" x14ac:dyDescent="0.3">
      <c r="A27" s="247" t="s">
        <v>42</v>
      </c>
      <c r="B27" s="247">
        <f>LN(10)</f>
        <v>2.3025850929940459</v>
      </c>
      <c r="C27" s="247"/>
      <c r="D27" s="248"/>
      <c r="F27" s="55">
        <f t="shared" si="22"/>
        <v>2.5771212547196636</v>
      </c>
      <c r="G27" s="56">
        <f t="shared" si="48"/>
        <v>377.67762353825145</v>
      </c>
      <c r="H27" s="57">
        <f t="shared" si="0"/>
        <v>374.67762353825145</v>
      </c>
      <c r="I27" s="56">
        <f t="shared" si="1"/>
        <v>176.7343259441011</v>
      </c>
      <c r="J27" s="57">
        <f t="shared" si="2"/>
        <v>193.72402598746129</v>
      </c>
      <c r="K27" s="56">
        <f t="shared" si="3"/>
        <v>199.45792545886542</v>
      </c>
      <c r="L27" s="57">
        <f t="shared" si="4"/>
        <v>188.24447483571626</v>
      </c>
      <c r="M27" s="58">
        <f t="shared" si="49"/>
        <v>0</v>
      </c>
      <c r="N27" s="59">
        <f t="shared" si="49"/>
        <v>0</v>
      </c>
      <c r="O27" s="59">
        <f t="shared" si="6"/>
        <v>0</v>
      </c>
      <c r="P27" s="59">
        <f t="shared" si="7"/>
        <v>0</v>
      </c>
      <c r="Q27" s="59">
        <f t="shared" si="8"/>
        <v>0</v>
      </c>
      <c r="R27" s="59">
        <f t="shared" si="9"/>
        <v>0</v>
      </c>
      <c r="S27" s="59">
        <f t="shared" si="23"/>
        <v>0</v>
      </c>
      <c r="T27" s="59">
        <f t="shared" si="24"/>
        <v>0</v>
      </c>
      <c r="U27" s="59">
        <f t="shared" si="25"/>
        <v>0</v>
      </c>
      <c r="V27" s="59">
        <f t="shared" si="50"/>
        <v>0</v>
      </c>
      <c r="W27" s="59">
        <f t="shared" si="50"/>
        <v>0</v>
      </c>
      <c r="X27" s="59">
        <f t="shared" si="26"/>
        <v>0</v>
      </c>
      <c r="Y27" s="60">
        <f t="shared" si="27"/>
        <v>0</v>
      </c>
      <c r="Z27" s="58">
        <f t="shared" si="28"/>
        <v>0</v>
      </c>
      <c r="AA27" s="59">
        <f t="shared" si="29"/>
        <v>0</v>
      </c>
      <c r="AB27" s="59">
        <f t="shared" si="30"/>
        <v>0</v>
      </c>
      <c r="AC27" s="60">
        <f t="shared" si="31"/>
        <v>0</v>
      </c>
      <c r="AD27" s="58">
        <f t="shared" si="11"/>
        <v>193.71509899861852</v>
      </c>
      <c r="AE27" s="61">
        <f t="shared" si="12"/>
        <v>0</v>
      </c>
      <c r="AF27" s="59">
        <f t="shared" si="13"/>
        <v>193.71509899861852</v>
      </c>
      <c r="AG27" s="61">
        <f t="shared" si="14"/>
        <v>0</v>
      </c>
      <c r="AH27" s="62">
        <f t="shared" si="32"/>
        <v>0</v>
      </c>
      <c r="AI27" s="59">
        <f t="shared" si="33"/>
        <v>0</v>
      </c>
      <c r="AJ27" s="60">
        <f t="shared" si="34"/>
        <v>0</v>
      </c>
      <c r="AK27" s="58">
        <f t="shared" si="15"/>
        <v>173.98071071485214</v>
      </c>
      <c r="AL27" s="61">
        <f t="shared" si="16"/>
        <v>0</v>
      </c>
      <c r="AM27" s="59">
        <f t="shared" si="17"/>
        <v>173.98071071485214</v>
      </c>
      <c r="AN27" s="61">
        <f t="shared" si="16"/>
        <v>0</v>
      </c>
      <c r="AO27" s="59">
        <f t="shared" si="35"/>
        <v>0</v>
      </c>
      <c r="AP27" s="59">
        <f t="shared" si="36"/>
        <v>0</v>
      </c>
      <c r="AQ27" s="60">
        <f t="shared" si="37"/>
        <v>0</v>
      </c>
      <c r="AR27" s="58">
        <f t="shared" si="38"/>
        <v>166.85462250457306</v>
      </c>
      <c r="AS27" s="61">
        <f t="shared" si="18"/>
        <v>0</v>
      </c>
      <c r="AT27" s="59">
        <f t="shared" si="39"/>
        <v>166.85462250457306</v>
      </c>
      <c r="AU27" s="61">
        <f t="shared" si="19"/>
        <v>0</v>
      </c>
      <c r="AV27" s="59">
        <f t="shared" si="40"/>
        <v>0</v>
      </c>
      <c r="AW27" s="59">
        <f t="shared" si="41"/>
        <v>0</v>
      </c>
      <c r="AX27" s="60">
        <f t="shared" si="42"/>
        <v>0</v>
      </c>
      <c r="AY27" s="58">
        <f t="shared" si="43"/>
        <v>191.64226091231441</v>
      </c>
      <c r="AZ27" s="61">
        <f t="shared" si="20"/>
        <v>0</v>
      </c>
      <c r="BA27" s="59">
        <f t="shared" si="44"/>
        <v>191.64226091231441</v>
      </c>
      <c r="BB27" s="61">
        <f t="shared" si="21"/>
        <v>0</v>
      </c>
      <c r="BC27" s="59">
        <f t="shared" si="51"/>
        <v>0</v>
      </c>
      <c r="BD27" s="59">
        <f t="shared" si="52"/>
        <v>0</v>
      </c>
      <c r="BE27" s="60">
        <f t="shared" si="53"/>
        <v>0</v>
      </c>
    </row>
    <row r="28" spans="1:57" ht="15.75" thickBot="1" x14ac:dyDescent="0.3">
      <c r="A28" s="312" t="s">
        <v>13</v>
      </c>
      <c r="B28" s="313"/>
      <c r="C28" s="313"/>
      <c r="D28" s="314"/>
      <c r="F28" s="55">
        <f t="shared" si="22"/>
        <v>2.6771212547196637</v>
      </c>
      <c r="G28" s="56">
        <f t="shared" si="48"/>
        <v>475.4679577383356</v>
      </c>
      <c r="H28" s="57">
        <f t="shared" si="0"/>
        <v>472.4679577383356</v>
      </c>
      <c r="I28" s="56">
        <f t="shared" si="1"/>
        <v>175.60730797278168</v>
      </c>
      <c r="J28" s="57">
        <f t="shared" si="2"/>
        <v>192.59700801614187</v>
      </c>
      <c r="K28" s="56">
        <f t="shared" si="3"/>
        <v>198.10437687531081</v>
      </c>
      <c r="L28" s="57">
        <f t="shared" si="4"/>
        <v>186.94840416869891</v>
      </c>
      <c r="M28" s="58">
        <f t="shared" si="49"/>
        <v>0</v>
      </c>
      <c r="N28" s="59">
        <f t="shared" si="49"/>
        <v>0</v>
      </c>
      <c r="O28" s="59">
        <f t="shared" si="6"/>
        <v>0</v>
      </c>
      <c r="P28" s="59">
        <f t="shared" si="7"/>
        <v>0</v>
      </c>
      <c r="Q28" s="59">
        <f t="shared" si="8"/>
        <v>0</v>
      </c>
      <c r="R28" s="59">
        <f t="shared" si="9"/>
        <v>0</v>
      </c>
      <c r="S28" s="59">
        <f t="shared" si="23"/>
        <v>0</v>
      </c>
      <c r="T28" s="59">
        <f t="shared" si="24"/>
        <v>0</v>
      </c>
      <c r="U28" s="59">
        <f t="shared" si="25"/>
        <v>0</v>
      </c>
      <c r="V28" s="59">
        <f t="shared" si="50"/>
        <v>0</v>
      </c>
      <c r="W28" s="59">
        <f t="shared" si="50"/>
        <v>0</v>
      </c>
      <c r="X28" s="59">
        <f t="shared" si="26"/>
        <v>0</v>
      </c>
      <c r="Y28" s="60">
        <f t="shared" si="27"/>
        <v>0</v>
      </c>
      <c r="Z28" s="58">
        <f t="shared" si="28"/>
        <v>0</v>
      </c>
      <c r="AA28" s="59">
        <f t="shared" si="29"/>
        <v>0</v>
      </c>
      <c r="AB28" s="59">
        <f t="shared" si="30"/>
        <v>0</v>
      </c>
      <c r="AC28" s="60">
        <f t="shared" si="31"/>
        <v>0</v>
      </c>
      <c r="AD28" s="58">
        <f t="shared" si="11"/>
        <v>192.5880810272991</v>
      </c>
      <c r="AE28" s="61">
        <f t="shared" si="12"/>
        <v>0</v>
      </c>
      <c r="AF28" s="59">
        <f t="shared" si="13"/>
        <v>192.5880810272991</v>
      </c>
      <c r="AG28" s="61">
        <f t="shared" si="14"/>
        <v>0</v>
      </c>
      <c r="AH28" s="62">
        <f t="shared" si="32"/>
        <v>0</v>
      </c>
      <c r="AI28" s="59">
        <f t="shared" si="33"/>
        <v>0</v>
      </c>
      <c r="AJ28" s="60">
        <f t="shared" si="34"/>
        <v>0</v>
      </c>
      <c r="AK28" s="58">
        <f t="shared" si="15"/>
        <v>172.85369274353272</v>
      </c>
      <c r="AL28" s="61">
        <f t="shared" si="16"/>
        <v>0</v>
      </c>
      <c r="AM28" s="59">
        <f t="shared" si="17"/>
        <v>172.85369274353272</v>
      </c>
      <c r="AN28" s="61">
        <f t="shared" si="16"/>
        <v>0</v>
      </c>
      <c r="AO28" s="59">
        <f t="shared" si="35"/>
        <v>0</v>
      </c>
      <c r="AP28" s="59">
        <f t="shared" si="36"/>
        <v>0</v>
      </c>
      <c r="AQ28" s="60">
        <f t="shared" si="37"/>
        <v>0</v>
      </c>
      <c r="AR28" s="58">
        <f t="shared" si="38"/>
        <v>165.72760453325364</v>
      </c>
      <c r="AS28" s="61">
        <f t="shared" si="18"/>
        <v>0</v>
      </c>
      <c r="AT28" s="59">
        <f t="shared" si="39"/>
        <v>165.72760453325364</v>
      </c>
      <c r="AU28" s="61">
        <f t="shared" si="19"/>
        <v>0</v>
      </c>
      <c r="AV28" s="59">
        <f t="shared" si="40"/>
        <v>0</v>
      </c>
      <c r="AW28" s="59">
        <f t="shared" si="41"/>
        <v>0</v>
      </c>
      <c r="AX28" s="60">
        <f t="shared" si="42"/>
        <v>0</v>
      </c>
      <c r="AY28" s="58">
        <f t="shared" si="43"/>
        <v>190.51524294099499</v>
      </c>
      <c r="AZ28" s="61">
        <f t="shared" si="20"/>
        <v>0</v>
      </c>
      <c r="BA28" s="59">
        <f t="shared" si="44"/>
        <v>190.51524294099499</v>
      </c>
      <c r="BB28" s="61">
        <f t="shared" si="21"/>
        <v>0</v>
      </c>
      <c r="BC28" s="59">
        <f t="shared" si="51"/>
        <v>0</v>
      </c>
      <c r="BD28" s="59">
        <f t="shared" si="52"/>
        <v>0</v>
      </c>
      <c r="BE28" s="60">
        <f t="shared" si="53"/>
        <v>0</v>
      </c>
    </row>
    <row r="29" spans="1:57" x14ac:dyDescent="0.25">
      <c r="A29" s="249" t="s">
        <v>15</v>
      </c>
      <c r="B29" s="250">
        <f>thetaMach*pi/180</f>
        <v>0.29670597283903605</v>
      </c>
      <c r="C29" s="250" t="s">
        <v>53</v>
      </c>
      <c r="D29" s="251"/>
      <c r="F29" s="55">
        <f t="shared" si="22"/>
        <v>2.7771212547196638</v>
      </c>
      <c r="G29" s="56">
        <f t="shared" si="48"/>
        <v>598.57869449066584</v>
      </c>
      <c r="H29" s="57">
        <f t="shared" si="0"/>
        <v>595.57869449066584</v>
      </c>
      <c r="I29" s="56">
        <f t="shared" si="1"/>
        <v>174.44740182093315</v>
      </c>
      <c r="J29" s="57">
        <f t="shared" si="2"/>
        <v>191.43710186429334</v>
      </c>
      <c r="K29" s="56">
        <f t="shared" si="3"/>
        <v>196.71132958694071</v>
      </c>
      <c r="L29" s="57">
        <f t="shared" si="4"/>
        <v>185.61451209407312</v>
      </c>
      <c r="M29" s="58">
        <f t="shared" si="49"/>
        <v>0</v>
      </c>
      <c r="N29" s="59">
        <f t="shared" si="49"/>
        <v>0</v>
      </c>
      <c r="O29" s="59">
        <f t="shared" si="6"/>
        <v>0</v>
      </c>
      <c r="P29" s="59">
        <f t="shared" si="7"/>
        <v>0</v>
      </c>
      <c r="Q29" s="59">
        <f t="shared" si="8"/>
        <v>0</v>
      </c>
      <c r="R29" s="59">
        <f t="shared" si="9"/>
        <v>0</v>
      </c>
      <c r="S29" s="59">
        <f t="shared" si="23"/>
        <v>0</v>
      </c>
      <c r="T29" s="59">
        <f t="shared" si="24"/>
        <v>0</v>
      </c>
      <c r="U29" s="59">
        <f t="shared" si="25"/>
        <v>0</v>
      </c>
      <c r="V29" s="59">
        <f t="shared" si="50"/>
        <v>0</v>
      </c>
      <c r="W29" s="59">
        <f t="shared" si="50"/>
        <v>0</v>
      </c>
      <c r="X29" s="59">
        <f t="shared" si="26"/>
        <v>0</v>
      </c>
      <c r="Y29" s="60">
        <f t="shared" si="27"/>
        <v>0</v>
      </c>
      <c r="Z29" s="58">
        <f t="shared" si="28"/>
        <v>0</v>
      </c>
      <c r="AA29" s="59">
        <f t="shared" si="29"/>
        <v>0</v>
      </c>
      <c r="AB29" s="59">
        <f t="shared" si="30"/>
        <v>0</v>
      </c>
      <c r="AC29" s="60">
        <f t="shared" si="31"/>
        <v>0</v>
      </c>
      <c r="AD29" s="58">
        <f t="shared" si="11"/>
        <v>191.42817487545057</v>
      </c>
      <c r="AE29" s="61">
        <f t="shared" si="12"/>
        <v>0</v>
      </c>
      <c r="AF29" s="59">
        <f t="shared" si="13"/>
        <v>191.42817487545057</v>
      </c>
      <c r="AG29" s="61">
        <f t="shared" si="14"/>
        <v>0</v>
      </c>
      <c r="AH29" s="62">
        <f t="shared" si="32"/>
        <v>0</v>
      </c>
      <c r="AI29" s="59">
        <f t="shared" si="33"/>
        <v>0</v>
      </c>
      <c r="AJ29" s="60">
        <f t="shared" si="34"/>
        <v>0</v>
      </c>
      <c r="AK29" s="58">
        <f t="shared" si="15"/>
        <v>171.69378659168419</v>
      </c>
      <c r="AL29" s="61">
        <f t="shared" si="16"/>
        <v>0</v>
      </c>
      <c r="AM29" s="59">
        <f t="shared" si="17"/>
        <v>171.69378659168419</v>
      </c>
      <c r="AN29" s="61">
        <f t="shared" si="16"/>
        <v>0</v>
      </c>
      <c r="AO29" s="59">
        <f t="shared" si="35"/>
        <v>0</v>
      </c>
      <c r="AP29" s="59">
        <f t="shared" si="36"/>
        <v>0</v>
      </c>
      <c r="AQ29" s="60">
        <f t="shared" si="37"/>
        <v>0</v>
      </c>
      <c r="AR29" s="58">
        <f t="shared" si="38"/>
        <v>164.56769838140511</v>
      </c>
      <c r="AS29" s="61">
        <f t="shared" si="18"/>
        <v>0</v>
      </c>
      <c r="AT29" s="59">
        <f t="shared" si="39"/>
        <v>164.56769838140511</v>
      </c>
      <c r="AU29" s="61">
        <f t="shared" si="19"/>
        <v>0</v>
      </c>
      <c r="AV29" s="59">
        <f t="shared" si="40"/>
        <v>0</v>
      </c>
      <c r="AW29" s="59">
        <f t="shared" si="41"/>
        <v>674.99195538345191</v>
      </c>
      <c r="AX29" s="60">
        <f t="shared" si="42"/>
        <v>0</v>
      </c>
      <c r="AY29" s="58">
        <f t="shared" si="43"/>
        <v>189.35533678914646</v>
      </c>
      <c r="AZ29" s="61">
        <f t="shared" si="20"/>
        <v>0</v>
      </c>
      <c r="BA29" s="59">
        <f t="shared" si="44"/>
        <v>189.35533678914646</v>
      </c>
      <c r="BB29" s="61">
        <f t="shared" si="21"/>
        <v>0</v>
      </c>
      <c r="BC29" s="59">
        <f t="shared" si="51"/>
        <v>0</v>
      </c>
      <c r="BD29" s="59">
        <f t="shared" si="52"/>
        <v>0</v>
      </c>
      <c r="BE29" s="60">
        <f t="shared" si="53"/>
        <v>0</v>
      </c>
    </row>
    <row r="30" spans="1:57" x14ac:dyDescent="0.25">
      <c r="A30" s="252" t="s">
        <v>19</v>
      </c>
      <c r="B30" s="253">
        <f>SIN(thetarad)</f>
        <v>0.29237170472273677</v>
      </c>
      <c r="C30" s="253"/>
      <c r="D30" s="254"/>
      <c r="F30" s="55">
        <f t="shared" si="22"/>
        <v>2.8771212547196638</v>
      </c>
      <c r="G30" s="56">
        <f t="shared" si="48"/>
        <v>753.56592945287707</v>
      </c>
      <c r="H30" s="57">
        <f t="shared" si="0"/>
        <v>750.56592945287707</v>
      </c>
      <c r="I30" s="56">
        <f t="shared" si="1"/>
        <v>173.24609190286881</v>
      </c>
      <c r="J30" s="57">
        <f t="shared" si="2"/>
        <v>190.235791946229</v>
      </c>
      <c r="K30" s="56">
        <f t="shared" si="3"/>
        <v>195.26855637534544</v>
      </c>
      <c r="L30" s="57">
        <f t="shared" si="4"/>
        <v>184.23300568829913</v>
      </c>
      <c r="M30" s="58">
        <f t="shared" si="49"/>
        <v>0</v>
      </c>
      <c r="N30" s="59">
        <f t="shared" si="49"/>
        <v>0</v>
      </c>
      <c r="O30" s="59">
        <f t="shared" si="6"/>
        <v>0</v>
      </c>
      <c r="P30" s="59">
        <f t="shared" si="7"/>
        <v>0</v>
      </c>
      <c r="Q30" s="59">
        <f t="shared" si="8"/>
        <v>0</v>
      </c>
      <c r="R30" s="59">
        <f t="shared" si="9"/>
        <v>0</v>
      </c>
      <c r="S30" s="59">
        <f t="shared" si="23"/>
        <v>0</v>
      </c>
      <c r="T30" s="59">
        <f t="shared" si="24"/>
        <v>0</v>
      </c>
      <c r="U30" s="59">
        <f t="shared" si="25"/>
        <v>0</v>
      </c>
      <c r="V30" s="59">
        <f t="shared" si="50"/>
        <v>0</v>
      </c>
      <c r="W30" s="59">
        <f t="shared" si="50"/>
        <v>0</v>
      </c>
      <c r="X30" s="59">
        <f t="shared" si="26"/>
        <v>0</v>
      </c>
      <c r="Y30" s="60">
        <f t="shared" si="27"/>
        <v>0</v>
      </c>
      <c r="Z30" s="58">
        <f t="shared" si="28"/>
        <v>0</v>
      </c>
      <c r="AA30" s="59">
        <f t="shared" si="29"/>
        <v>0</v>
      </c>
      <c r="AB30" s="59">
        <f t="shared" si="30"/>
        <v>0</v>
      </c>
      <c r="AC30" s="60">
        <f t="shared" si="31"/>
        <v>0</v>
      </c>
      <c r="AD30" s="58">
        <f t="shared" si="11"/>
        <v>190.22686495738623</v>
      </c>
      <c r="AE30" s="61">
        <f t="shared" si="12"/>
        <v>0</v>
      </c>
      <c r="AF30" s="59">
        <f t="shared" si="13"/>
        <v>190.22686495738623</v>
      </c>
      <c r="AG30" s="61">
        <f t="shared" si="14"/>
        <v>0</v>
      </c>
      <c r="AH30" s="62">
        <f t="shared" si="32"/>
        <v>0</v>
      </c>
      <c r="AI30" s="59">
        <f t="shared" si="33"/>
        <v>0</v>
      </c>
      <c r="AJ30" s="60">
        <f t="shared" si="34"/>
        <v>0</v>
      </c>
      <c r="AK30" s="58">
        <f t="shared" si="15"/>
        <v>170.49247667361985</v>
      </c>
      <c r="AL30" s="61">
        <f t="shared" si="16"/>
        <v>0</v>
      </c>
      <c r="AM30" s="59">
        <f t="shared" si="17"/>
        <v>170.49247667361985</v>
      </c>
      <c r="AN30" s="61">
        <f t="shared" si="16"/>
        <v>830.22791524956938</v>
      </c>
      <c r="AO30" s="59">
        <f t="shared" si="35"/>
        <v>0</v>
      </c>
      <c r="AP30" s="59">
        <f t="shared" si="36"/>
        <v>0</v>
      </c>
      <c r="AQ30" s="60">
        <f t="shared" si="37"/>
        <v>0</v>
      </c>
      <c r="AR30" s="58">
        <f t="shared" si="38"/>
        <v>163.36638846334077</v>
      </c>
      <c r="AS30" s="61">
        <f t="shared" si="18"/>
        <v>0</v>
      </c>
      <c r="AT30" s="59">
        <f t="shared" si="39"/>
        <v>163.36638846334077</v>
      </c>
      <c r="AU30" s="61">
        <f t="shared" si="19"/>
        <v>0</v>
      </c>
      <c r="AV30" s="59">
        <f t="shared" si="40"/>
        <v>0</v>
      </c>
      <c r="AW30" s="59">
        <f t="shared" si="41"/>
        <v>0</v>
      </c>
      <c r="AX30" s="60">
        <f t="shared" si="42"/>
        <v>0</v>
      </c>
      <c r="AY30" s="58">
        <f t="shared" si="43"/>
        <v>188.15402687108212</v>
      </c>
      <c r="AZ30" s="61">
        <f t="shared" si="20"/>
        <v>0</v>
      </c>
      <c r="BA30" s="59">
        <f t="shared" si="44"/>
        <v>188.15402687108212</v>
      </c>
      <c r="BB30" s="61">
        <f t="shared" si="21"/>
        <v>0</v>
      </c>
      <c r="BC30" s="59">
        <f t="shared" si="51"/>
        <v>0</v>
      </c>
      <c r="BD30" s="59">
        <f t="shared" si="52"/>
        <v>0</v>
      </c>
      <c r="BE30" s="60">
        <f t="shared" si="53"/>
        <v>0</v>
      </c>
    </row>
    <row r="31" spans="1:57" x14ac:dyDescent="0.25">
      <c r="A31" s="255" t="s">
        <v>20</v>
      </c>
      <c r="B31" s="247">
        <f>COS(thetarad)</f>
        <v>0.95630475596303544</v>
      </c>
      <c r="C31" s="247"/>
      <c r="D31" s="256"/>
      <c r="F31" s="55">
        <f t="shared" si="22"/>
        <v>2.9771212547196639</v>
      </c>
      <c r="G31" s="56">
        <f t="shared" si="48"/>
        <v>948.68329805051758</v>
      </c>
      <c r="H31" s="57">
        <f t="shared" si="0"/>
        <v>945.68329805051758</v>
      </c>
      <c r="I31" s="56">
        <f t="shared" si="1"/>
        <v>171.99265773137139</v>
      </c>
      <c r="J31" s="57">
        <f t="shared" si="2"/>
        <v>188.98235777473158</v>
      </c>
      <c r="K31" s="56">
        <f t="shared" si="3"/>
        <v>193.76318193537705</v>
      </c>
      <c r="L31" s="57">
        <f t="shared" si="4"/>
        <v>182.79155639107708</v>
      </c>
      <c r="M31" s="58">
        <f t="shared" si="49"/>
        <v>0</v>
      </c>
      <c r="N31" s="59">
        <f t="shared" si="49"/>
        <v>0</v>
      </c>
      <c r="O31" s="59">
        <f t="shared" si="6"/>
        <v>0</v>
      </c>
      <c r="P31" s="59">
        <f t="shared" si="7"/>
        <v>0</v>
      </c>
      <c r="Q31" s="59">
        <f t="shared" si="8"/>
        <v>0</v>
      </c>
      <c r="R31" s="59">
        <f t="shared" si="9"/>
        <v>0</v>
      </c>
      <c r="S31" s="59">
        <f t="shared" si="23"/>
        <v>0</v>
      </c>
      <c r="T31" s="59">
        <f t="shared" si="24"/>
        <v>0</v>
      </c>
      <c r="U31" s="59">
        <f t="shared" si="25"/>
        <v>0</v>
      </c>
      <c r="V31" s="59">
        <f t="shared" si="50"/>
        <v>0</v>
      </c>
      <c r="W31" s="59">
        <f t="shared" si="50"/>
        <v>0</v>
      </c>
      <c r="X31" s="59">
        <f t="shared" si="26"/>
        <v>0</v>
      </c>
      <c r="Y31" s="60">
        <f t="shared" si="27"/>
        <v>0</v>
      </c>
      <c r="Z31" s="58">
        <f t="shared" si="28"/>
        <v>0</v>
      </c>
      <c r="AA31" s="59">
        <f t="shared" si="29"/>
        <v>0</v>
      </c>
      <c r="AB31" s="59">
        <f t="shared" si="30"/>
        <v>0</v>
      </c>
      <c r="AC31" s="60">
        <f t="shared" si="31"/>
        <v>0</v>
      </c>
      <c r="AD31" s="58">
        <f t="shared" si="11"/>
        <v>188.97343078588881</v>
      </c>
      <c r="AE31" s="61">
        <f t="shared" si="12"/>
        <v>0</v>
      </c>
      <c r="AF31" s="59">
        <f t="shared" si="13"/>
        <v>188.97343078588881</v>
      </c>
      <c r="AG31" s="61">
        <f t="shared" si="14"/>
        <v>0</v>
      </c>
      <c r="AH31" s="62">
        <f t="shared" si="32"/>
        <v>0</v>
      </c>
      <c r="AI31" s="59">
        <f t="shared" si="33"/>
        <v>0</v>
      </c>
      <c r="AJ31" s="60">
        <f t="shared" si="34"/>
        <v>0</v>
      </c>
      <c r="AK31" s="58">
        <f t="shared" si="15"/>
        <v>169.23904250212243</v>
      </c>
      <c r="AL31" s="61">
        <f t="shared" si="16"/>
        <v>0</v>
      </c>
      <c r="AM31" s="59">
        <f t="shared" si="17"/>
        <v>169.23904250212243</v>
      </c>
      <c r="AN31" s="61">
        <f t="shared" si="16"/>
        <v>0</v>
      </c>
      <c r="AO31" s="59">
        <f t="shared" si="35"/>
        <v>0</v>
      </c>
      <c r="AP31" s="59">
        <f t="shared" si="36"/>
        <v>0</v>
      </c>
      <c r="AQ31" s="60">
        <f t="shared" si="37"/>
        <v>0</v>
      </c>
      <c r="AR31" s="58">
        <f t="shared" si="38"/>
        <v>162.11295429184335</v>
      </c>
      <c r="AS31" s="61">
        <f t="shared" si="18"/>
        <v>0</v>
      </c>
      <c r="AT31" s="59">
        <f t="shared" si="39"/>
        <v>162.11295429184335</v>
      </c>
      <c r="AU31" s="61">
        <f t="shared" si="19"/>
        <v>0</v>
      </c>
      <c r="AV31" s="59">
        <f t="shared" si="40"/>
        <v>0</v>
      </c>
      <c r="AW31" s="59">
        <f t="shared" si="41"/>
        <v>0</v>
      </c>
      <c r="AX31" s="60">
        <f t="shared" si="42"/>
        <v>0</v>
      </c>
      <c r="AY31" s="58">
        <f t="shared" si="43"/>
        <v>186.90059269958471</v>
      </c>
      <c r="AZ31" s="61">
        <f t="shared" si="20"/>
        <v>0</v>
      </c>
      <c r="BA31" s="59">
        <f t="shared" si="44"/>
        <v>186.90059269958471</v>
      </c>
      <c r="BB31" s="61">
        <f t="shared" si="21"/>
        <v>0</v>
      </c>
      <c r="BC31" s="59">
        <f t="shared" si="51"/>
        <v>0</v>
      </c>
      <c r="BD31" s="59">
        <f t="shared" si="52"/>
        <v>0</v>
      </c>
      <c r="BE31" s="60">
        <f t="shared" si="53"/>
        <v>0</v>
      </c>
    </row>
    <row r="32" spans="1:57" x14ac:dyDescent="0.25">
      <c r="A32" s="252" t="s">
        <v>21</v>
      </c>
      <c r="B32" s="253">
        <f>sintheta/costheta</f>
        <v>0.30573068145866039</v>
      </c>
      <c r="C32" s="253"/>
      <c r="D32" s="254"/>
      <c r="F32" s="55">
        <f t="shared" si="22"/>
        <v>3.077121254719664</v>
      </c>
      <c r="G32" s="56">
        <f t="shared" si="48"/>
        <v>1194.3215116604963</v>
      </c>
      <c r="H32" s="57">
        <f t="shared" si="0"/>
        <v>1191.3215116604963</v>
      </c>
      <c r="I32" s="56">
        <f t="shared" si="1"/>
        <v>170.67360301265632</v>
      </c>
      <c r="J32" s="57">
        <f t="shared" si="2"/>
        <v>187.6633030560165</v>
      </c>
      <c r="K32" s="56">
        <f t="shared" si="3"/>
        <v>192.17899721820024</v>
      </c>
      <c r="L32" s="57">
        <f t="shared" si="4"/>
        <v>181.27464346455474</v>
      </c>
      <c r="M32" s="58">
        <f t="shared" si="49"/>
        <v>0</v>
      </c>
      <c r="N32" s="59">
        <f t="shared" si="49"/>
        <v>0</v>
      </c>
      <c r="O32" s="59">
        <f t="shared" si="6"/>
        <v>0</v>
      </c>
      <c r="P32" s="59">
        <f t="shared" si="7"/>
        <v>0</v>
      </c>
      <c r="Q32" s="59">
        <f t="shared" si="8"/>
        <v>0</v>
      </c>
      <c r="R32" s="59">
        <f t="shared" si="9"/>
        <v>0</v>
      </c>
      <c r="S32" s="59">
        <f t="shared" si="23"/>
        <v>0</v>
      </c>
      <c r="T32" s="59">
        <f t="shared" si="24"/>
        <v>0</v>
      </c>
      <c r="U32" s="59">
        <f t="shared" si="25"/>
        <v>0</v>
      </c>
      <c r="V32" s="59">
        <f t="shared" si="50"/>
        <v>0</v>
      </c>
      <c r="W32" s="59">
        <f t="shared" si="50"/>
        <v>1340.661616166869</v>
      </c>
      <c r="X32" s="59">
        <f t="shared" si="26"/>
        <v>0</v>
      </c>
      <c r="Y32" s="60">
        <f t="shared" si="27"/>
        <v>0</v>
      </c>
      <c r="Z32" s="58">
        <f t="shared" si="28"/>
        <v>0</v>
      </c>
      <c r="AA32" s="59">
        <f t="shared" si="29"/>
        <v>0</v>
      </c>
      <c r="AB32" s="59">
        <f t="shared" si="30"/>
        <v>1438.8571974088964</v>
      </c>
      <c r="AC32" s="60">
        <f t="shared" si="31"/>
        <v>0</v>
      </c>
      <c r="AD32" s="58">
        <f t="shared" si="11"/>
        <v>187.65437606717373</v>
      </c>
      <c r="AE32" s="61">
        <f t="shared" si="12"/>
        <v>0</v>
      </c>
      <c r="AF32" s="59">
        <f t="shared" si="13"/>
        <v>187.65437606717373</v>
      </c>
      <c r="AG32" s="61">
        <f t="shared" si="14"/>
        <v>0</v>
      </c>
      <c r="AH32" s="62">
        <f t="shared" si="32"/>
        <v>0</v>
      </c>
      <c r="AI32" s="59">
        <f t="shared" si="33"/>
        <v>0</v>
      </c>
      <c r="AJ32" s="60">
        <f t="shared" si="34"/>
        <v>0</v>
      </c>
      <c r="AK32" s="58">
        <f t="shared" si="15"/>
        <v>167.91998778340735</v>
      </c>
      <c r="AL32" s="61">
        <f t="shared" si="16"/>
        <v>0</v>
      </c>
      <c r="AM32" s="59">
        <f t="shared" si="17"/>
        <v>167.91998778340735</v>
      </c>
      <c r="AN32" s="61">
        <f t="shared" si="16"/>
        <v>0</v>
      </c>
      <c r="AO32" s="59">
        <f t="shared" si="35"/>
        <v>0</v>
      </c>
      <c r="AP32" s="59">
        <f t="shared" si="36"/>
        <v>0</v>
      </c>
      <c r="AQ32" s="60">
        <f t="shared" si="37"/>
        <v>0</v>
      </c>
      <c r="AR32" s="58">
        <f t="shared" si="38"/>
        <v>160.79389957312827</v>
      </c>
      <c r="AS32" s="61">
        <f t="shared" si="18"/>
        <v>0</v>
      </c>
      <c r="AT32" s="59">
        <f t="shared" si="39"/>
        <v>160.79389957312827</v>
      </c>
      <c r="AU32" s="61">
        <f t="shared" si="19"/>
        <v>0</v>
      </c>
      <c r="AV32" s="59">
        <f t="shared" si="40"/>
        <v>0</v>
      </c>
      <c r="AW32" s="59">
        <f t="shared" si="41"/>
        <v>0</v>
      </c>
      <c r="AX32" s="60">
        <f t="shared" si="42"/>
        <v>0</v>
      </c>
      <c r="AY32" s="58">
        <f t="shared" si="43"/>
        <v>185.58153798086963</v>
      </c>
      <c r="AZ32" s="61">
        <f t="shared" si="20"/>
        <v>1322.6223360317454</v>
      </c>
      <c r="BA32" s="59">
        <f t="shared" si="44"/>
        <v>185.58153798086963</v>
      </c>
      <c r="BB32" s="61">
        <f t="shared" si="21"/>
        <v>0</v>
      </c>
      <c r="BC32" s="59">
        <f t="shared" si="51"/>
        <v>0</v>
      </c>
      <c r="BD32" s="59">
        <f t="shared" si="52"/>
        <v>0</v>
      </c>
      <c r="BE32" s="60">
        <f t="shared" si="53"/>
        <v>0</v>
      </c>
    </row>
    <row r="33" spans="1:57" ht="15.75" thickBot="1" x14ac:dyDescent="0.3">
      <c r="A33" s="255" t="s">
        <v>50</v>
      </c>
      <c r="B33" s="247">
        <f>2*H/tantheta</f>
        <v>189.70945187208014</v>
      </c>
      <c r="C33" s="247" t="s">
        <v>9</v>
      </c>
      <c r="D33" s="256"/>
      <c r="F33" s="55">
        <f t="shared" si="22"/>
        <v>3.1771212547196641</v>
      </c>
      <c r="G33" s="56">
        <f t="shared" si="48"/>
        <v>1503.561700881824</v>
      </c>
      <c r="H33" s="57">
        <f t="shared" si="0"/>
        <v>1500.561700881824</v>
      </c>
      <c r="I33" s="56">
        <f t="shared" si="1"/>
        <v>169.27193691951302</v>
      </c>
      <c r="J33" s="57">
        <f t="shared" si="2"/>
        <v>186.26163696287321</v>
      </c>
      <c r="K33" s="56">
        <f t="shared" si="3"/>
        <v>190.49559624033515</v>
      </c>
      <c r="L33" s="57">
        <f t="shared" si="4"/>
        <v>179.66272745743996</v>
      </c>
      <c r="M33" s="58">
        <f t="shared" si="49"/>
        <v>0</v>
      </c>
      <c r="N33" s="59">
        <f t="shared" si="49"/>
        <v>0</v>
      </c>
      <c r="O33" s="59">
        <f t="shared" si="6"/>
        <v>0</v>
      </c>
      <c r="P33" s="59">
        <f t="shared" si="7"/>
        <v>1571.2114062533092</v>
      </c>
      <c r="Q33" s="59">
        <f t="shared" si="8"/>
        <v>1571.2114062533092</v>
      </c>
      <c r="R33" s="59">
        <f t="shared" si="9"/>
        <v>1571.2114062533092</v>
      </c>
      <c r="S33" s="59">
        <f t="shared" si="23"/>
        <v>0</v>
      </c>
      <c r="T33" s="59">
        <f t="shared" si="24"/>
        <v>0</v>
      </c>
      <c r="U33" s="59">
        <f t="shared" si="25"/>
        <v>0</v>
      </c>
      <c r="V33" s="59">
        <f t="shared" si="50"/>
        <v>0</v>
      </c>
      <c r="W33" s="59">
        <f t="shared" si="50"/>
        <v>0</v>
      </c>
      <c r="X33" s="59">
        <f t="shared" si="26"/>
        <v>0</v>
      </c>
      <c r="Y33" s="60">
        <f t="shared" si="27"/>
        <v>0</v>
      </c>
      <c r="Z33" s="58">
        <f t="shared" si="28"/>
        <v>0</v>
      </c>
      <c r="AA33" s="59">
        <f t="shared" si="29"/>
        <v>0</v>
      </c>
      <c r="AB33" s="59">
        <f t="shared" si="30"/>
        <v>0</v>
      </c>
      <c r="AC33" s="60">
        <f t="shared" si="31"/>
        <v>0</v>
      </c>
      <c r="AD33" s="58">
        <f t="shared" si="11"/>
        <v>186.25270997403044</v>
      </c>
      <c r="AE33" s="61">
        <f t="shared" si="12"/>
        <v>0</v>
      </c>
      <c r="AF33" s="59">
        <f t="shared" si="13"/>
        <v>186.25270997403044</v>
      </c>
      <c r="AG33" s="61">
        <f t="shared" si="14"/>
        <v>0</v>
      </c>
      <c r="AH33" s="62">
        <f t="shared" si="32"/>
        <v>0</v>
      </c>
      <c r="AI33" s="59">
        <f t="shared" si="33"/>
        <v>0</v>
      </c>
      <c r="AJ33" s="60">
        <f t="shared" si="34"/>
        <v>0</v>
      </c>
      <c r="AK33" s="58">
        <f t="shared" si="15"/>
        <v>166.51832169026406</v>
      </c>
      <c r="AL33" s="61">
        <f t="shared" si="16"/>
        <v>0</v>
      </c>
      <c r="AM33" s="59">
        <f t="shared" si="17"/>
        <v>166.51832169026406</v>
      </c>
      <c r="AN33" s="61">
        <f t="shared" si="16"/>
        <v>0</v>
      </c>
      <c r="AO33" s="59">
        <f t="shared" si="35"/>
        <v>0</v>
      </c>
      <c r="AP33" s="59">
        <f t="shared" si="36"/>
        <v>0</v>
      </c>
      <c r="AQ33" s="60">
        <f t="shared" si="37"/>
        <v>0</v>
      </c>
      <c r="AR33" s="58">
        <f t="shared" si="38"/>
        <v>159.39223347998498</v>
      </c>
      <c r="AS33" s="61">
        <f t="shared" si="18"/>
        <v>0</v>
      </c>
      <c r="AT33" s="59">
        <f t="shared" si="39"/>
        <v>159.39223347998498</v>
      </c>
      <c r="AU33" s="61">
        <f t="shared" si="19"/>
        <v>0</v>
      </c>
      <c r="AV33" s="59">
        <f t="shared" si="40"/>
        <v>0</v>
      </c>
      <c r="AW33" s="59">
        <f t="shared" si="41"/>
        <v>0</v>
      </c>
      <c r="AX33" s="60">
        <f t="shared" si="42"/>
        <v>0</v>
      </c>
      <c r="AY33" s="58">
        <f t="shared" si="43"/>
        <v>184.17987188772634</v>
      </c>
      <c r="AZ33" s="61">
        <f t="shared" si="20"/>
        <v>0</v>
      </c>
      <c r="BA33" s="59">
        <f t="shared" si="44"/>
        <v>184.17987188772634</v>
      </c>
      <c r="BB33" s="61">
        <f t="shared" si="21"/>
        <v>0</v>
      </c>
      <c r="BC33" s="59">
        <f t="shared" si="51"/>
        <v>0</v>
      </c>
      <c r="BD33" s="59">
        <f t="shared" si="52"/>
        <v>0</v>
      </c>
      <c r="BE33" s="60">
        <f t="shared" si="53"/>
        <v>0</v>
      </c>
    </row>
    <row r="34" spans="1:57" ht="15.75" thickBot="1" x14ac:dyDescent="0.3">
      <c r="A34" s="257" t="s">
        <v>24</v>
      </c>
      <c r="B34" s="258"/>
      <c r="C34" s="258"/>
      <c r="D34" s="259"/>
      <c r="F34" s="55">
        <f t="shared" si="22"/>
        <v>3.2771212547196642</v>
      </c>
      <c r="G34" s="56">
        <f t="shared" si="48"/>
        <v>1892.8720334405884</v>
      </c>
      <c r="H34" s="57">
        <f t="shared" si="0"/>
        <v>1889.8720334405884</v>
      </c>
      <c r="I34" s="56">
        <f t="shared" si="1"/>
        <v>167.76626926779892</v>
      </c>
      <c r="J34" s="57">
        <f t="shared" si="2"/>
        <v>184.75596931115911</v>
      </c>
      <c r="K34" s="56">
        <f t="shared" si="3"/>
        <v>188.68728939062649</v>
      </c>
      <c r="L34" s="57">
        <f t="shared" si="4"/>
        <v>177.93120965796874</v>
      </c>
      <c r="M34" s="58">
        <f t="shared" si="49"/>
        <v>0</v>
      </c>
      <c r="N34" s="59">
        <f t="shared" si="49"/>
        <v>0</v>
      </c>
      <c r="O34" s="59">
        <f t="shared" si="6"/>
        <v>0</v>
      </c>
      <c r="P34" s="59">
        <f t="shared" si="7"/>
        <v>0</v>
      </c>
      <c r="Q34" s="59">
        <f t="shared" si="8"/>
        <v>0</v>
      </c>
      <c r="R34" s="59">
        <f t="shared" si="9"/>
        <v>0</v>
      </c>
      <c r="S34" s="59">
        <f t="shared" si="23"/>
        <v>0</v>
      </c>
      <c r="T34" s="59">
        <f t="shared" si="24"/>
        <v>0</v>
      </c>
      <c r="U34" s="59">
        <f t="shared" si="25"/>
        <v>0</v>
      </c>
      <c r="V34" s="59">
        <f t="shared" si="50"/>
        <v>0</v>
      </c>
      <c r="W34" s="59">
        <f t="shared" si="50"/>
        <v>0</v>
      </c>
      <c r="X34" s="59">
        <f t="shared" si="26"/>
        <v>0</v>
      </c>
      <c r="Y34" s="60">
        <f t="shared" si="27"/>
        <v>0</v>
      </c>
      <c r="Z34" s="58">
        <f t="shared" si="28"/>
        <v>0</v>
      </c>
      <c r="AA34" s="59">
        <f t="shared" si="29"/>
        <v>0</v>
      </c>
      <c r="AB34" s="59">
        <f t="shared" si="30"/>
        <v>0</v>
      </c>
      <c r="AC34" s="60">
        <f t="shared" si="31"/>
        <v>0</v>
      </c>
      <c r="AD34" s="58">
        <f t="shared" si="11"/>
        <v>184.74704232231633</v>
      </c>
      <c r="AE34" s="61">
        <f t="shared" si="12"/>
        <v>0</v>
      </c>
      <c r="AF34" s="59">
        <f t="shared" si="13"/>
        <v>184.74704232231633</v>
      </c>
      <c r="AG34" s="61">
        <f t="shared" si="14"/>
        <v>0</v>
      </c>
      <c r="AH34" s="62">
        <f t="shared" si="32"/>
        <v>0</v>
      </c>
      <c r="AI34" s="59">
        <f t="shared" si="33"/>
        <v>0</v>
      </c>
      <c r="AJ34" s="60">
        <f t="shared" si="34"/>
        <v>0</v>
      </c>
      <c r="AK34" s="58">
        <f t="shared" si="15"/>
        <v>165.01265403854995</v>
      </c>
      <c r="AL34" s="61">
        <f t="shared" si="16"/>
        <v>0</v>
      </c>
      <c r="AM34" s="59">
        <f t="shared" si="17"/>
        <v>165.01265403854995</v>
      </c>
      <c r="AN34" s="61">
        <f t="shared" si="16"/>
        <v>0</v>
      </c>
      <c r="AO34" s="59">
        <f t="shared" si="35"/>
        <v>0</v>
      </c>
      <c r="AP34" s="59">
        <f t="shared" si="36"/>
        <v>0</v>
      </c>
      <c r="AQ34" s="60">
        <f t="shared" si="37"/>
        <v>0</v>
      </c>
      <c r="AR34" s="58">
        <f t="shared" si="38"/>
        <v>157.88656582827088</v>
      </c>
      <c r="AS34" s="61">
        <f t="shared" si="18"/>
        <v>0</v>
      </c>
      <c r="AT34" s="59">
        <f t="shared" si="39"/>
        <v>157.88656582827088</v>
      </c>
      <c r="AU34" s="61">
        <f t="shared" si="19"/>
        <v>0</v>
      </c>
      <c r="AV34" s="59">
        <f t="shared" si="40"/>
        <v>0</v>
      </c>
      <c r="AW34" s="59">
        <f t="shared" si="41"/>
        <v>0</v>
      </c>
      <c r="AX34" s="60">
        <f t="shared" si="42"/>
        <v>0</v>
      </c>
      <c r="AY34" s="58">
        <f t="shared" si="43"/>
        <v>182.67420423601223</v>
      </c>
      <c r="AZ34" s="61">
        <f t="shared" si="20"/>
        <v>0</v>
      </c>
      <c r="BA34" s="59">
        <f t="shared" si="44"/>
        <v>182.67420423601223</v>
      </c>
      <c r="BB34" s="61">
        <f t="shared" si="21"/>
        <v>0</v>
      </c>
      <c r="BC34" s="59">
        <f t="shared" si="51"/>
        <v>0</v>
      </c>
      <c r="BD34" s="59">
        <f t="shared" si="52"/>
        <v>0</v>
      </c>
      <c r="BE34" s="60">
        <f t="shared" si="53"/>
        <v>0</v>
      </c>
    </row>
    <row r="35" spans="1:57" x14ac:dyDescent="0.25">
      <c r="A35" s="249" t="s">
        <v>25</v>
      </c>
      <c r="B35" s="250">
        <v>23</v>
      </c>
      <c r="C35" s="250" t="s">
        <v>57</v>
      </c>
      <c r="D35" s="251"/>
      <c r="F35" s="55">
        <f t="shared" si="22"/>
        <v>3.3771212547196643</v>
      </c>
      <c r="G35" s="56">
        <f t="shared" si="48"/>
        <v>2382.9847041728553</v>
      </c>
      <c r="H35" s="57">
        <f t="shared" si="0"/>
        <v>2379.9847041728553</v>
      </c>
      <c r="I35" s="56">
        <f t="shared" si="1"/>
        <v>166.1296714111337</v>
      </c>
      <c r="J35" s="57">
        <f t="shared" si="2"/>
        <v>183.11937145449389</v>
      </c>
      <c r="K35" s="56">
        <f t="shared" si="3"/>
        <v>186.72173536477158</v>
      </c>
      <c r="L35" s="57">
        <f t="shared" si="4"/>
        <v>176.04912212280374</v>
      </c>
      <c r="M35" s="58">
        <f t="shared" si="49"/>
        <v>0</v>
      </c>
      <c r="N35" s="59">
        <f t="shared" si="49"/>
        <v>0</v>
      </c>
      <c r="O35" s="59">
        <f t="shared" si="6"/>
        <v>0</v>
      </c>
      <c r="P35" s="59">
        <f t="shared" si="7"/>
        <v>0</v>
      </c>
      <c r="Q35" s="59">
        <f t="shared" si="8"/>
        <v>0</v>
      </c>
      <c r="R35" s="59">
        <f t="shared" si="9"/>
        <v>0</v>
      </c>
      <c r="S35" s="59">
        <f t="shared" si="23"/>
        <v>0</v>
      </c>
      <c r="T35" s="59">
        <f t="shared" si="24"/>
        <v>0</v>
      </c>
      <c r="U35" s="59">
        <f t="shared" si="25"/>
        <v>0</v>
      </c>
      <c r="V35" s="59">
        <f t="shared" si="50"/>
        <v>2423.8711361998121</v>
      </c>
      <c r="W35" s="59">
        <f t="shared" si="50"/>
        <v>0</v>
      </c>
      <c r="X35" s="59">
        <f t="shared" si="26"/>
        <v>0</v>
      </c>
      <c r="Y35" s="60">
        <f t="shared" si="27"/>
        <v>0</v>
      </c>
      <c r="Z35" s="58">
        <f t="shared" si="28"/>
        <v>0</v>
      </c>
      <c r="AA35" s="59">
        <f t="shared" si="29"/>
        <v>0</v>
      </c>
      <c r="AB35" s="59">
        <f t="shared" si="30"/>
        <v>0</v>
      </c>
      <c r="AC35" s="60">
        <f t="shared" si="31"/>
        <v>0</v>
      </c>
      <c r="AD35" s="58">
        <f t="shared" si="11"/>
        <v>183.11044446565111</v>
      </c>
      <c r="AE35" s="61">
        <f t="shared" si="12"/>
        <v>2420.8135147267976</v>
      </c>
      <c r="AF35" s="59">
        <f t="shared" si="13"/>
        <v>183.11044446565111</v>
      </c>
      <c r="AG35" s="61">
        <f t="shared" si="14"/>
        <v>0</v>
      </c>
      <c r="AH35" s="62">
        <f t="shared" si="32"/>
        <v>0</v>
      </c>
      <c r="AI35" s="59">
        <f t="shared" si="33"/>
        <v>0</v>
      </c>
      <c r="AJ35" s="60">
        <f t="shared" si="34"/>
        <v>0</v>
      </c>
      <c r="AK35" s="58">
        <f t="shared" si="15"/>
        <v>163.37605618188473</v>
      </c>
      <c r="AL35" s="61">
        <f t="shared" si="16"/>
        <v>0</v>
      </c>
      <c r="AM35" s="59">
        <f t="shared" si="17"/>
        <v>163.37605618188473</v>
      </c>
      <c r="AN35" s="61">
        <f t="shared" si="16"/>
        <v>0</v>
      </c>
      <c r="AO35" s="59">
        <f t="shared" si="35"/>
        <v>0</v>
      </c>
      <c r="AP35" s="59">
        <f t="shared" si="36"/>
        <v>0</v>
      </c>
      <c r="AQ35" s="60">
        <f t="shared" si="37"/>
        <v>0</v>
      </c>
      <c r="AR35" s="58">
        <f t="shared" si="38"/>
        <v>156.24996797160566</v>
      </c>
      <c r="AS35" s="61">
        <f t="shared" si="18"/>
        <v>2811.1166283720754</v>
      </c>
      <c r="AT35" s="59">
        <f t="shared" si="39"/>
        <v>156.24996797160566</v>
      </c>
      <c r="AU35" s="61">
        <f t="shared" si="19"/>
        <v>0</v>
      </c>
      <c r="AV35" s="59">
        <f t="shared" si="40"/>
        <v>0</v>
      </c>
      <c r="AW35" s="59">
        <f t="shared" si="41"/>
        <v>0</v>
      </c>
      <c r="AX35" s="60">
        <f t="shared" si="42"/>
        <v>0</v>
      </c>
      <c r="AY35" s="58">
        <f t="shared" si="43"/>
        <v>181.03760637934701</v>
      </c>
      <c r="AZ35" s="61">
        <f t="shared" si="20"/>
        <v>0</v>
      </c>
      <c r="BA35" s="59">
        <f t="shared" si="44"/>
        <v>181.03760637934701</v>
      </c>
      <c r="BB35" s="61">
        <f t="shared" si="21"/>
        <v>0</v>
      </c>
      <c r="BC35" s="59">
        <f t="shared" si="51"/>
        <v>0</v>
      </c>
      <c r="BD35" s="59">
        <f t="shared" si="52"/>
        <v>0</v>
      </c>
      <c r="BE35" s="60">
        <f t="shared" si="53"/>
        <v>0</v>
      </c>
    </row>
    <row r="36" spans="1:57" x14ac:dyDescent="0.25">
      <c r="A36" s="252" t="s">
        <v>26</v>
      </c>
      <c r="B36" s="253">
        <v>35</v>
      </c>
      <c r="C36" s="253"/>
      <c r="D36" s="254"/>
      <c r="F36" s="55">
        <f t="shared" si="22"/>
        <v>3.4771212547196644</v>
      </c>
      <c r="G36" s="56">
        <f t="shared" si="48"/>
        <v>3000.0000000000136</v>
      </c>
      <c r="H36" s="57">
        <f t="shared" si="0"/>
        <v>2997.0000000000136</v>
      </c>
      <c r="I36" s="56">
        <f t="shared" si="1"/>
        <v>164.32824219228419</v>
      </c>
      <c r="J36" s="57">
        <f t="shared" si="2"/>
        <v>181.31794223564438</v>
      </c>
      <c r="K36" s="56">
        <f t="shared" si="3"/>
        <v>184.55821887293331</v>
      </c>
      <c r="L36" s="57">
        <f t="shared" si="4"/>
        <v>173.97747852112681</v>
      </c>
      <c r="M36" s="58">
        <f t="shared" si="49"/>
        <v>0</v>
      </c>
      <c r="N36" s="59">
        <f t="shared" si="49"/>
        <v>0</v>
      </c>
      <c r="O36" s="59">
        <f t="shared" si="6"/>
        <v>0</v>
      </c>
      <c r="P36" s="59">
        <f t="shared" si="7"/>
        <v>0</v>
      </c>
      <c r="Q36" s="59">
        <f t="shared" si="8"/>
        <v>0</v>
      </c>
      <c r="R36" s="59">
        <f t="shared" si="9"/>
        <v>0</v>
      </c>
      <c r="S36" s="59">
        <f t="shared" si="23"/>
        <v>0</v>
      </c>
      <c r="T36" s="59">
        <f t="shared" si="24"/>
        <v>0</v>
      </c>
      <c r="U36" s="59">
        <f t="shared" si="25"/>
        <v>0</v>
      </c>
      <c r="V36" s="59">
        <f t="shared" si="50"/>
        <v>0</v>
      </c>
      <c r="W36" s="59">
        <f t="shared" si="50"/>
        <v>0</v>
      </c>
      <c r="X36" s="59">
        <f t="shared" si="26"/>
        <v>0</v>
      </c>
      <c r="Y36" s="60">
        <f t="shared" si="27"/>
        <v>0</v>
      </c>
      <c r="Z36" s="58">
        <f t="shared" si="28"/>
        <v>0</v>
      </c>
      <c r="AA36" s="59">
        <f t="shared" si="29"/>
        <v>0</v>
      </c>
      <c r="AB36" s="59">
        <f t="shared" si="30"/>
        <v>0</v>
      </c>
      <c r="AC36" s="60">
        <f t="shared" si="31"/>
        <v>0</v>
      </c>
      <c r="AD36" s="58">
        <f t="shared" si="11"/>
        <v>181.30901524680161</v>
      </c>
      <c r="AE36" s="61">
        <f t="shared" si="12"/>
        <v>0</v>
      </c>
      <c r="AF36" s="59">
        <f t="shared" si="13"/>
        <v>181.30901524680161</v>
      </c>
      <c r="AG36" s="61">
        <f t="shared" si="14"/>
        <v>0</v>
      </c>
      <c r="AH36" s="62">
        <f t="shared" si="32"/>
        <v>0</v>
      </c>
      <c r="AI36" s="59">
        <f t="shared" si="33"/>
        <v>0</v>
      </c>
      <c r="AJ36" s="60">
        <f t="shared" si="34"/>
        <v>0</v>
      </c>
      <c r="AK36" s="58">
        <f t="shared" si="15"/>
        <v>161.57462696303523</v>
      </c>
      <c r="AL36" s="61">
        <f t="shared" si="16"/>
        <v>0</v>
      </c>
      <c r="AM36" s="59">
        <f t="shared" si="17"/>
        <v>161.57462696303523</v>
      </c>
      <c r="AN36" s="61">
        <f t="shared" si="16"/>
        <v>0</v>
      </c>
      <c r="AO36" s="59">
        <f t="shared" si="35"/>
        <v>0</v>
      </c>
      <c r="AP36" s="59">
        <f t="shared" si="36"/>
        <v>0</v>
      </c>
      <c r="AQ36" s="60">
        <f t="shared" si="37"/>
        <v>0</v>
      </c>
      <c r="AR36" s="58">
        <f t="shared" si="38"/>
        <v>154.44853875275615</v>
      </c>
      <c r="AS36" s="61">
        <f t="shared" si="18"/>
        <v>0</v>
      </c>
      <c r="AT36" s="59">
        <f t="shared" si="39"/>
        <v>154.44853875275615</v>
      </c>
      <c r="AU36" s="61">
        <f t="shared" si="19"/>
        <v>0</v>
      </c>
      <c r="AV36" s="59">
        <f t="shared" si="40"/>
        <v>0</v>
      </c>
      <c r="AW36" s="59">
        <f t="shared" si="41"/>
        <v>0</v>
      </c>
      <c r="AX36" s="60">
        <f t="shared" si="42"/>
        <v>0</v>
      </c>
      <c r="AY36" s="58">
        <f t="shared" si="43"/>
        <v>179.2361771604975</v>
      </c>
      <c r="AZ36" s="61">
        <f t="shared" si="20"/>
        <v>0</v>
      </c>
      <c r="BA36" s="59">
        <f t="shared" si="44"/>
        <v>179.2361771604975</v>
      </c>
      <c r="BB36" s="61">
        <f t="shared" si="21"/>
        <v>0</v>
      </c>
      <c r="BC36" s="59">
        <f t="shared" si="51"/>
        <v>0</v>
      </c>
      <c r="BD36" s="59">
        <f t="shared" si="52"/>
        <v>0</v>
      </c>
      <c r="BE36" s="60">
        <f t="shared" si="53"/>
        <v>0</v>
      </c>
    </row>
    <row r="37" spans="1:57" ht="30" x14ac:dyDescent="0.25">
      <c r="A37" s="255" t="s">
        <v>27</v>
      </c>
      <c r="B37" s="247">
        <f>1448.96+1.34*(Sw-35)</f>
        <v>1448.96</v>
      </c>
      <c r="C37" s="247" t="s">
        <v>1</v>
      </c>
      <c r="D37" s="256" t="s">
        <v>31</v>
      </c>
      <c r="F37" s="55">
        <f t="shared" si="22"/>
        <v>3.5771212547196645</v>
      </c>
      <c r="G37" s="56">
        <f t="shared" si="48"/>
        <v>3776.7762353825219</v>
      </c>
      <c r="H37" s="57">
        <f t="shared" si="0"/>
        <v>3773.7762353825219</v>
      </c>
      <c r="I37" s="56">
        <f t="shared" si="1"/>
        <v>162.31930258292016</v>
      </c>
      <c r="J37" s="57">
        <f t="shared" si="2"/>
        <v>179.30900262628035</v>
      </c>
      <c r="K37" s="56">
        <f t="shared" si="3"/>
        <v>182.14548240208711</v>
      </c>
      <c r="L37" s="57">
        <f t="shared" si="4"/>
        <v>171.66719797035816</v>
      </c>
      <c r="M37" s="58">
        <f t="shared" si="49"/>
        <v>0</v>
      </c>
      <c r="N37" s="59">
        <f t="shared" si="49"/>
        <v>0</v>
      </c>
      <c r="O37" s="59">
        <f t="shared" si="6"/>
        <v>0</v>
      </c>
      <c r="P37" s="59">
        <f t="shared" si="7"/>
        <v>0</v>
      </c>
      <c r="Q37" s="59">
        <f t="shared" si="8"/>
        <v>0</v>
      </c>
      <c r="R37" s="59">
        <f t="shared" si="9"/>
        <v>0</v>
      </c>
      <c r="S37" s="59">
        <f t="shared" si="23"/>
        <v>0</v>
      </c>
      <c r="T37" s="59">
        <f t="shared" si="24"/>
        <v>0</v>
      </c>
      <c r="U37" s="59">
        <f t="shared" si="25"/>
        <v>0</v>
      </c>
      <c r="V37" s="59">
        <f t="shared" si="50"/>
        <v>0</v>
      </c>
      <c r="W37" s="59">
        <f t="shared" si="50"/>
        <v>0</v>
      </c>
      <c r="X37" s="59">
        <f t="shared" si="26"/>
        <v>0</v>
      </c>
      <c r="Y37" s="60">
        <f t="shared" si="27"/>
        <v>0</v>
      </c>
      <c r="Z37" s="58">
        <f t="shared" si="28"/>
        <v>0</v>
      </c>
      <c r="AA37" s="59">
        <f t="shared" si="29"/>
        <v>0</v>
      </c>
      <c r="AB37" s="59">
        <f t="shared" si="30"/>
        <v>0</v>
      </c>
      <c r="AC37" s="60">
        <f t="shared" si="31"/>
        <v>0</v>
      </c>
      <c r="AD37" s="58">
        <f t="shared" si="11"/>
        <v>179.30007563743757</v>
      </c>
      <c r="AE37" s="61">
        <f t="shared" si="12"/>
        <v>0</v>
      </c>
      <c r="AF37" s="59">
        <f t="shared" si="13"/>
        <v>179.30007563743757</v>
      </c>
      <c r="AG37" s="61">
        <f t="shared" si="14"/>
        <v>0</v>
      </c>
      <c r="AH37" s="62">
        <f t="shared" si="32"/>
        <v>0</v>
      </c>
      <c r="AI37" s="59">
        <f t="shared" si="33"/>
        <v>0</v>
      </c>
      <c r="AJ37" s="60">
        <f t="shared" si="34"/>
        <v>0</v>
      </c>
      <c r="AK37" s="58">
        <f t="shared" si="15"/>
        <v>159.56568735367119</v>
      </c>
      <c r="AL37" s="61">
        <f t="shared" si="16"/>
        <v>0</v>
      </c>
      <c r="AM37" s="59">
        <f t="shared" si="17"/>
        <v>159.56568735367119</v>
      </c>
      <c r="AN37" s="61">
        <f t="shared" si="16"/>
        <v>0</v>
      </c>
      <c r="AO37" s="59">
        <f t="shared" si="35"/>
        <v>0</v>
      </c>
      <c r="AP37" s="59">
        <f t="shared" si="36"/>
        <v>0</v>
      </c>
      <c r="AQ37" s="60">
        <f t="shared" si="37"/>
        <v>0</v>
      </c>
      <c r="AR37" s="58">
        <f t="shared" si="38"/>
        <v>152.43959914339212</v>
      </c>
      <c r="AS37" s="61">
        <f t="shared" si="18"/>
        <v>0</v>
      </c>
      <c r="AT37" s="59">
        <f t="shared" si="39"/>
        <v>152.43959914339212</v>
      </c>
      <c r="AU37" s="61">
        <f t="shared" si="19"/>
        <v>0</v>
      </c>
      <c r="AV37" s="59">
        <f t="shared" si="40"/>
        <v>0</v>
      </c>
      <c r="AW37" s="59">
        <f t="shared" si="41"/>
        <v>0</v>
      </c>
      <c r="AX37" s="60">
        <f t="shared" si="42"/>
        <v>0</v>
      </c>
      <c r="AY37" s="58">
        <f t="shared" si="43"/>
        <v>177.22723755113347</v>
      </c>
      <c r="AZ37" s="61">
        <f t="shared" si="20"/>
        <v>0</v>
      </c>
      <c r="BA37" s="59">
        <f t="shared" si="44"/>
        <v>177.22723755113347</v>
      </c>
      <c r="BB37" s="61">
        <f t="shared" si="21"/>
        <v>0</v>
      </c>
      <c r="BC37" s="59">
        <f t="shared" si="51"/>
        <v>0</v>
      </c>
      <c r="BD37" s="59">
        <f t="shared" si="52"/>
        <v>0</v>
      </c>
      <c r="BE37" s="60">
        <f t="shared" si="53"/>
        <v>0</v>
      </c>
    </row>
    <row r="38" spans="1:57" x14ac:dyDescent="0.25">
      <c r="A38" s="252" t="s">
        <v>28</v>
      </c>
      <c r="B38" s="253">
        <f>4.591-0.01025*(Sw-35)</f>
        <v>4.5910000000000002</v>
      </c>
      <c r="C38" s="253"/>
      <c r="D38" s="254"/>
      <c r="F38" s="55">
        <f t="shared" si="22"/>
        <v>3.6771212547196646</v>
      </c>
      <c r="G38" s="56">
        <f t="shared" si="48"/>
        <v>4754.6795773833701</v>
      </c>
      <c r="H38" s="57">
        <f t="shared" si="0"/>
        <v>4751.6795773833701</v>
      </c>
      <c r="I38" s="56">
        <f t="shared" si="1"/>
        <v>160.04912286972612</v>
      </c>
      <c r="J38" s="57">
        <f t="shared" si="2"/>
        <v>177.03882291308631</v>
      </c>
      <c r="K38" s="56">
        <f t="shared" si="3"/>
        <v>179.41899656654107</v>
      </c>
      <c r="L38" s="57">
        <f t="shared" si="4"/>
        <v>169.05649130018503</v>
      </c>
      <c r="M38" s="58">
        <f t="shared" si="49"/>
        <v>0</v>
      </c>
      <c r="N38" s="59">
        <f t="shared" si="49"/>
        <v>0</v>
      </c>
      <c r="O38" s="59">
        <f t="shared" si="6"/>
        <v>0</v>
      </c>
      <c r="P38" s="59">
        <f t="shared" si="7"/>
        <v>0</v>
      </c>
      <c r="Q38" s="59">
        <f t="shared" si="8"/>
        <v>0</v>
      </c>
      <c r="R38" s="59">
        <f t="shared" si="9"/>
        <v>0</v>
      </c>
      <c r="S38" s="59">
        <f t="shared" si="23"/>
        <v>0</v>
      </c>
      <c r="T38" s="59">
        <f t="shared" si="24"/>
        <v>0</v>
      </c>
      <c r="U38" s="59">
        <f t="shared" si="25"/>
        <v>0</v>
      </c>
      <c r="V38" s="59">
        <f t="shared" si="50"/>
        <v>0</v>
      </c>
      <c r="W38" s="59">
        <f t="shared" si="50"/>
        <v>0</v>
      </c>
      <c r="X38" s="59">
        <f t="shared" si="26"/>
        <v>0</v>
      </c>
      <c r="Y38" s="60">
        <f t="shared" si="27"/>
        <v>0</v>
      </c>
      <c r="Z38" s="58">
        <f t="shared" si="28"/>
        <v>0</v>
      </c>
      <c r="AA38" s="59">
        <f t="shared" si="29"/>
        <v>0</v>
      </c>
      <c r="AB38" s="59">
        <f t="shared" si="30"/>
        <v>0</v>
      </c>
      <c r="AC38" s="60">
        <f t="shared" si="31"/>
        <v>0</v>
      </c>
      <c r="AD38" s="58">
        <f t="shared" si="11"/>
        <v>177.02989592424353</v>
      </c>
      <c r="AE38" s="61">
        <f t="shared" si="12"/>
        <v>0</v>
      </c>
      <c r="AF38" s="59">
        <f t="shared" si="13"/>
        <v>177.02989592424353</v>
      </c>
      <c r="AG38" s="61">
        <f t="shared" si="14"/>
        <v>0</v>
      </c>
      <c r="AH38" s="62">
        <f t="shared" si="32"/>
        <v>0</v>
      </c>
      <c r="AI38" s="59">
        <f t="shared" si="33"/>
        <v>0</v>
      </c>
      <c r="AJ38" s="60">
        <f t="shared" si="34"/>
        <v>0</v>
      </c>
      <c r="AK38" s="58">
        <f t="shared" si="15"/>
        <v>157.29550764047715</v>
      </c>
      <c r="AL38" s="61">
        <f t="shared" si="16"/>
        <v>0</v>
      </c>
      <c r="AM38" s="59">
        <f t="shared" si="17"/>
        <v>157.29550764047715</v>
      </c>
      <c r="AN38" s="61">
        <f t="shared" si="16"/>
        <v>0</v>
      </c>
      <c r="AO38" s="59">
        <f t="shared" si="35"/>
        <v>0</v>
      </c>
      <c r="AP38" s="59">
        <f t="shared" si="36"/>
        <v>0</v>
      </c>
      <c r="AQ38" s="60">
        <f t="shared" si="37"/>
        <v>0</v>
      </c>
      <c r="AR38" s="58">
        <f t="shared" si="38"/>
        <v>150.16941943019808</v>
      </c>
      <c r="AS38" s="61">
        <f t="shared" si="18"/>
        <v>0</v>
      </c>
      <c r="AT38" s="59">
        <f t="shared" si="39"/>
        <v>150.16941943019808</v>
      </c>
      <c r="AU38" s="61">
        <f t="shared" si="19"/>
        <v>0</v>
      </c>
      <c r="AV38" s="59">
        <f t="shared" si="40"/>
        <v>0</v>
      </c>
      <c r="AW38" s="59">
        <f t="shared" si="41"/>
        <v>0</v>
      </c>
      <c r="AX38" s="60">
        <f t="shared" si="42"/>
        <v>0</v>
      </c>
      <c r="AY38" s="58">
        <f t="shared" si="43"/>
        <v>174.95705783793943</v>
      </c>
      <c r="AZ38" s="61">
        <f t="shared" si="20"/>
        <v>0</v>
      </c>
      <c r="BA38" s="59">
        <f t="shared" si="44"/>
        <v>174.95705783793943</v>
      </c>
      <c r="BB38" s="61">
        <f t="shared" si="21"/>
        <v>0</v>
      </c>
      <c r="BC38" s="59">
        <f t="shared" si="51"/>
        <v>0</v>
      </c>
      <c r="BD38" s="59">
        <f t="shared" si="52"/>
        <v>0</v>
      </c>
      <c r="BE38" s="60">
        <f t="shared" si="53"/>
        <v>0</v>
      </c>
    </row>
    <row r="39" spans="1:57" x14ac:dyDescent="0.25">
      <c r="A39" s="255" t="s">
        <v>29</v>
      </c>
      <c r="B39" s="260">
        <v>-5.3039999999999997E-2</v>
      </c>
      <c r="C39" s="247"/>
      <c r="D39" s="256"/>
      <c r="F39" s="55">
        <f t="shared" si="22"/>
        <v>3.7771212547196646</v>
      </c>
      <c r="G39" s="56">
        <f t="shared" si="48"/>
        <v>5985.7869449066702</v>
      </c>
      <c r="H39" s="57">
        <f t="shared" si="0"/>
        <v>5982.7869449066702</v>
      </c>
      <c r="I39" s="56">
        <f t="shared" si="1"/>
        <v>157.45006135124072</v>
      </c>
      <c r="J39" s="57">
        <f t="shared" si="2"/>
        <v>174.43976139460091</v>
      </c>
      <c r="K39" s="56">
        <f t="shared" si="3"/>
        <v>176.29752368284011</v>
      </c>
      <c r="L39" s="57">
        <f t="shared" si="4"/>
        <v>166.06757055392683</v>
      </c>
      <c r="M39" s="58">
        <f t="shared" si="49"/>
        <v>0</v>
      </c>
      <c r="N39" s="59">
        <f t="shared" si="49"/>
        <v>0</v>
      </c>
      <c r="O39" s="59">
        <f t="shared" si="6"/>
        <v>0</v>
      </c>
      <c r="P39" s="59">
        <f t="shared" si="7"/>
        <v>0</v>
      </c>
      <c r="Q39" s="59">
        <f t="shared" si="8"/>
        <v>0</v>
      </c>
      <c r="R39" s="59">
        <f t="shared" si="9"/>
        <v>0</v>
      </c>
      <c r="S39" s="59">
        <f t="shared" si="23"/>
        <v>0</v>
      </c>
      <c r="T39" s="59">
        <f t="shared" si="24"/>
        <v>0</v>
      </c>
      <c r="U39" s="59">
        <f t="shared" si="25"/>
        <v>0</v>
      </c>
      <c r="V39" s="59">
        <f t="shared" si="50"/>
        <v>0</v>
      </c>
      <c r="W39" s="59">
        <f t="shared" si="50"/>
        <v>0</v>
      </c>
      <c r="X39" s="59">
        <f t="shared" si="26"/>
        <v>0</v>
      </c>
      <c r="Y39" s="60">
        <f t="shared" si="27"/>
        <v>0</v>
      </c>
      <c r="Z39" s="58">
        <f t="shared" si="28"/>
        <v>0</v>
      </c>
      <c r="AA39" s="59">
        <f t="shared" si="29"/>
        <v>0</v>
      </c>
      <c r="AB39" s="59">
        <f t="shared" si="30"/>
        <v>0</v>
      </c>
      <c r="AC39" s="60">
        <f t="shared" si="31"/>
        <v>6016.0102629852818</v>
      </c>
      <c r="AD39" s="58">
        <f t="shared" si="11"/>
        <v>174.43083440575813</v>
      </c>
      <c r="AE39" s="61">
        <f t="shared" si="12"/>
        <v>0</v>
      </c>
      <c r="AF39" s="59">
        <f t="shared" si="13"/>
        <v>174.43083440575813</v>
      </c>
      <c r="AG39" s="61">
        <f t="shared" si="14"/>
        <v>0</v>
      </c>
      <c r="AH39" s="62">
        <f t="shared" si="32"/>
        <v>0</v>
      </c>
      <c r="AI39" s="59">
        <f t="shared" si="33"/>
        <v>0</v>
      </c>
      <c r="AJ39" s="60">
        <f t="shared" si="34"/>
        <v>0</v>
      </c>
      <c r="AK39" s="58">
        <f t="shared" si="15"/>
        <v>154.69644612199176</v>
      </c>
      <c r="AL39" s="61">
        <f t="shared" si="16"/>
        <v>0</v>
      </c>
      <c r="AM39" s="59">
        <f t="shared" si="17"/>
        <v>154.69644612199176</v>
      </c>
      <c r="AN39" s="61">
        <f t="shared" si="16"/>
        <v>0</v>
      </c>
      <c r="AO39" s="59">
        <f t="shared" si="35"/>
        <v>0</v>
      </c>
      <c r="AP39" s="59">
        <f t="shared" si="36"/>
        <v>0</v>
      </c>
      <c r="AQ39" s="60">
        <f t="shared" si="37"/>
        <v>0</v>
      </c>
      <c r="AR39" s="58">
        <f t="shared" si="38"/>
        <v>147.57035791171268</v>
      </c>
      <c r="AS39" s="61">
        <f t="shared" si="18"/>
        <v>0</v>
      </c>
      <c r="AT39" s="59">
        <f t="shared" si="39"/>
        <v>147.57035791171268</v>
      </c>
      <c r="AU39" s="61">
        <f t="shared" si="19"/>
        <v>0</v>
      </c>
      <c r="AV39" s="59">
        <f t="shared" si="40"/>
        <v>0</v>
      </c>
      <c r="AW39" s="59">
        <f t="shared" si="41"/>
        <v>0</v>
      </c>
      <c r="AX39" s="60">
        <f t="shared" si="42"/>
        <v>0</v>
      </c>
      <c r="AY39" s="58">
        <f t="shared" si="43"/>
        <v>172.35799631945403</v>
      </c>
      <c r="AZ39" s="61">
        <f t="shared" si="20"/>
        <v>0</v>
      </c>
      <c r="BA39" s="59">
        <f t="shared" si="44"/>
        <v>172.35799631945403</v>
      </c>
      <c r="BB39" s="61">
        <f t="shared" si="21"/>
        <v>7198.6887038365167</v>
      </c>
      <c r="BC39" s="59">
        <f t="shared" si="51"/>
        <v>0</v>
      </c>
      <c r="BD39" s="59">
        <f t="shared" si="52"/>
        <v>0</v>
      </c>
      <c r="BE39" s="60">
        <f t="shared" si="53"/>
        <v>0</v>
      </c>
    </row>
    <row r="40" spans="1:57" x14ac:dyDescent="0.25">
      <c r="A40" s="252" t="s">
        <v>30</v>
      </c>
      <c r="B40" s="261">
        <v>2.374E-4</v>
      </c>
      <c r="C40" s="253"/>
      <c r="D40" s="254"/>
      <c r="F40" s="55">
        <f t="shared" si="22"/>
        <v>3.8771212547196647</v>
      </c>
      <c r="G40" s="56">
        <f t="shared" si="48"/>
        <v>7535.6592945287857</v>
      </c>
      <c r="H40" s="57">
        <f t="shared" si="0"/>
        <v>7532.6592945287857</v>
      </c>
      <c r="I40" s="56">
        <f t="shared" si="1"/>
        <v>154.43696217059727</v>
      </c>
      <c r="J40" s="57">
        <f t="shared" si="2"/>
        <v>171.42666221395746</v>
      </c>
      <c r="K40" s="56">
        <f t="shared" si="3"/>
        <v>172.67879156688733</v>
      </c>
      <c r="L40" s="57">
        <f t="shared" si="4"/>
        <v>162.60250649618683</v>
      </c>
      <c r="M40" s="58">
        <f t="shared" si="49"/>
        <v>0</v>
      </c>
      <c r="N40" s="59">
        <f t="shared" si="49"/>
        <v>0</v>
      </c>
      <c r="O40" s="59">
        <f t="shared" si="6"/>
        <v>0</v>
      </c>
      <c r="P40" s="59">
        <f t="shared" si="7"/>
        <v>0</v>
      </c>
      <c r="Q40" s="59">
        <f t="shared" si="8"/>
        <v>0</v>
      </c>
      <c r="R40" s="59">
        <f t="shared" si="9"/>
        <v>0</v>
      </c>
      <c r="S40" s="59">
        <f t="shared" si="23"/>
        <v>0</v>
      </c>
      <c r="T40" s="59">
        <f t="shared" si="24"/>
        <v>0</v>
      </c>
      <c r="U40" s="59">
        <f t="shared" si="25"/>
        <v>0</v>
      </c>
      <c r="V40" s="59">
        <f t="shared" si="50"/>
        <v>0</v>
      </c>
      <c r="W40" s="59">
        <f t="shared" si="50"/>
        <v>0</v>
      </c>
      <c r="X40" s="59">
        <f t="shared" si="26"/>
        <v>0</v>
      </c>
      <c r="Y40" s="60">
        <f t="shared" si="27"/>
        <v>0</v>
      </c>
      <c r="Z40" s="58">
        <f t="shared" si="28"/>
        <v>0</v>
      </c>
      <c r="AA40" s="59">
        <f t="shared" si="29"/>
        <v>0</v>
      </c>
      <c r="AB40" s="59">
        <f t="shared" si="30"/>
        <v>0</v>
      </c>
      <c r="AC40" s="60">
        <f t="shared" si="31"/>
        <v>0</v>
      </c>
      <c r="AD40" s="58">
        <f t="shared" si="11"/>
        <v>171.41773522511468</v>
      </c>
      <c r="AE40" s="61">
        <f t="shared" si="12"/>
        <v>0</v>
      </c>
      <c r="AF40" s="59">
        <f t="shared" si="13"/>
        <v>171.41773522511468</v>
      </c>
      <c r="AG40" s="61">
        <f t="shared" si="14"/>
        <v>9422.4590367906767</v>
      </c>
      <c r="AH40" s="62">
        <f t="shared" si="32"/>
        <v>0</v>
      </c>
      <c r="AI40" s="59">
        <f t="shared" si="33"/>
        <v>0</v>
      </c>
      <c r="AJ40" s="60">
        <f t="shared" si="34"/>
        <v>8785.001396397085</v>
      </c>
      <c r="AK40" s="58">
        <f t="shared" si="15"/>
        <v>151.6833469413483</v>
      </c>
      <c r="AL40" s="61">
        <f t="shared" si="16"/>
        <v>0</v>
      </c>
      <c r="AM40" s="59">
        <f t="shared" si="17"/>
        <v>151.6833469413483</v>
      </c>
      <c r="AN40" s="61">
        <f t="shared" si="16"/>
        <v>0</v>
      </c>
      <c r="AO40" s="59">
        <f t="shared" si="35"/>
        <v>0</v>
      </c>
      <c r="AP40" s="59">
        <f t="shared" si="36"/>
        <v>0</v>
      </c>
      <c r="AQ40" s="60">
        <f t="shared" si="37"/>
        <v>8785.001396397085</v>
      </c>
      <c r="AR40" s="58">
        <f t="shared" si="38"/>
        <v>144.55725873106923</v>
      </c>
      <c r="AS40" s="61">
        <f t="shared" si="18"/>
        <v>0</v>
      </c>
      <c r="AT40" s="59">
        <f t="shared" si="39"/>
        <v>144.55725873106923</v>
      </c>
      <c r="AU40" s="61">
        <f t="shared" si="19"/>
        <v>0</v>
      </c>
      <c r="AV40" s="59">
        <f t="shared" si="40"/>
        <v>0</v>
      </c>
      <c r="AW40" s="59">
        <f t="shared" si="41"/>
        <v>0</v>
      </c>
      <c r="AX40" s="60">
        <f t="shared" si="42"/>
        <v>8785.001396397085</v>
      </c>
      <c r="AY40" s="58">
        <f t="shared" si="43"/>
        <v>169.34489713881058</v>
      </c>
      <c r="AZ40" s="61">
        <f t="shared" si="20"/>
        <v>0</v>
      </c>
      <c r="BA40" s="59">
        <f t="shared" si="44"/>
        <v>169.34489713881058</v>
      </c>
      <c r="BB40" s="61">
        <f t="shared" si="21"/>
        <v>0</v>
      </c>
      <c r="BC40" s="59">
        <f t="shared" si="51"/>
        <v>0</v>
      </c>
      <c r="BD40" s="59">
        <f t="shared" si="52"/>
        <v>0</v>
      </c>
      <c r="BE40" s="60">
        <f t="shared" si="53"/>
        <v>8785.001396397085</v>
      </c>
    </row>
    <row r="41" spans="1:57" x14ac:dyDescent="0.25">
      <c r="A41" s="255" t="s">
        <v>32</v>
      </c>
      <c r="B41" s="247">
        <f>A_0+A_1*Tw+A_2*Tw^2+A_3*Tw^3</f>
        <v>1529.3832858000001</v>
      </c>
      <c r="C41" s="247" t="s">
        <v>1</v>
      </c>
      <c r="D41" s="256"/>
      <c r="F41" s="55">
        <f t="shared" si="22"/>
        <v>3.9771212547196648</v>
      </c>
      <c r="G41" s="56">
        <f t="shared" si="48"/>
        <v>9486.8329805052035</v>
      </c>
      <c r="H41" s="57">
        <f t="shared" si="0"/>
        <v>9483.8329805052035</v>
      </c>
      <c r="I41" s="56">
        <f t="shared" si="1"/>
        <v>150.90262045562324</v>
      </c>
      <c r="J41" s="57">
        <f t="shared" si="2"/>
        <v>167.89232049898342</v>
      </c>
      <c r="K41" s="56">
        <f t="shared" si="3"/>
        <v>168.43404716720352</v>
      </c>
      <c r="L41" s="57">
        <f t="shared" si="4"/>
        <v>158.5380135239667</v>
      </c>
      <c r="M41" s="58">
        <f t="shared" si="49"/>
        <v>0</v>
      </c>
      <c r="N41" s="59">
        <f t="shared" si="49"/>
        <v>0</v>
      </c>
      <c r="O41" s="59">
        <f t="shared" si="6"/>
        <v>0</v>
      </c>
      <c r="P41" s="59">
        <f t="shared" si="7"/>
        <v>0</v>
      </c>
      <c r="Q41" s="59">
        <f t="shared" si="8"/>
        <v>0</v>
      </c>
      <c r="R41" s="59">
        <f t="shared" si="9"/>
        <v>0</v>
      </c>
      <c r="S41" s="59">
        <f t="shared" si="23"/>
        <v>0</v>
      </c>
      <c r="T41" s="59">
        <f t="shared" si="24"/>
        <v>0</v>
      </c>
      <c r="U41" s="59">
        <f t="shared" si="25"/>
        <v>0</v>
      </c>
      <c r="V41" s="59">
        <f t="shared" si="50"/>
        <v>0</v>
      </c>
      <c r="W41" s="59">
        <f t="shared" si="50"/>
        <v>0</v>
      </c>
      <c r="X41" s="59">
        <f t="shared" si="26"/>
        <v>0</v>
      </c>
      <c r="Y41" s="60">
        <f t="shared" si="27"/>
        <v>0</v>
      </c>
      <c r="Z41" s="58">
        <f t="shared" si="28"/>
        <v>0</v>
      </c>
      <c r="AA41" s="59">
        <f t="shared" si="29"/>
        <v>0</v>
      </c>
      <c r="AB41" s="59">
        <f t="shared" si="30"/>
        <v>0</v>
      </c>
      <c r="AC41" s="60">
        <f t="shared" si="31"/>
        <v>0</v>
      </c>
      <c r="AD41" s="58">
        <f t="shared" si="11"/>
        <v>167.88339351014065</v>
      </c>
      <c r="AE41" s="61">
        <f t="shared" si="12"/>
        <v>0</v>
      </c>
      <c r="AF41" s="59">
        <f t="shared" si="13"/>
        <v>167.88339351014065</v>
      </c>
      <c r="AG41" s="61">
        <f t="shared" si="14"/>
        <v>0</v>
      </c>
      <c r="AH41" s="62">
        <f t="shared" si="32"/>
        <v>0</v>
      </c>
      <c r="AI41" s="59">
        <f t="shared" si="33"/>
        <v>0</v>
      </c>
      <c r="AJ41" s="60">
        <f t="shared" si="34"/>
        <v>0</v>
      </c>
      <c r="AK41" s="58">
        <f t="shared" si="15"/>
        <v>148.14900522637427</v>
      </c>
      <c r="AL41" s="61">
        <f t="shared" si="16"/>
        <v>0</v>
      </c>
      <c r="AM41" s="59">
        <f t="shared" si="17"/>
        <v>148.14900522637427</v>
      </c>
      <c r="AN41" s="61">
        <f t="shared" si="16"/>
        <v>0</v>
      </c>
      <c r="AO41" s="59">
        <f t="shared" si="35"/>
        <v>0</v>
      </c>
      <c r="AP41" s="59">
        <f t="shared" si="36"/>
        <v>0</v>
      </c>
      <c r="AQ41" s="60">
        <f t="shared" si="37"/>
        <v>0</v>
      </c>
      <c r="AR41" s="58">
        <f t="shared" si="38"/>
        <v>141.02291701609519</v>
      </c>
      <c r="AS41" s="61">
        <f t="shared" si="18"/>
        <v>0</v>
      </c>
      <c r="AT41" s="59">
        <f t="shared" si="39"/>
        <v>141.02291701609519</v>
      </c>
      <c r="AU41" s="61">
        <f t="shared" si="19"/>
        <v>10086.438467051963</v>
      </c>
      <c r="AV41" s="59">
        <f t="shared" si="40"/>
        <v>0</v>
      </c>
      <c r="AW41" s="59">
        <f t="shared" si="41"/>
        <v>0</v>
      </c>
      <c r="AX41" s="60">
        <f t="shared" si="42"/>
        <v>0</v>
      </c>
      <c r="AY41" s="58">
        <f t="shared" si="43"/>
        <v>165.81055542383655</v>
      </c>
      <c r="AZ41" s="61">
        <f t="shared" si="20"/>
        <v>0</v>
      </c>
      <c r="BA41" s="59">
        <f t="shared" si="44"/>
        <v>165.81055542383655</v>
      </c>
      <c r="BB41" s="61">
        <f t="shared" si="21"/>
        <v>0</v>
      </c>
      <c r="BC41" s="59">
        <f t="shared" si="51"/>
        <v>0</v>
      </c>
      <c r="BD41" s="59">
        <f t="shared" si="52"/>
        <v>0</v>
      </c>
      <c r="BE41" s="60">
        <f t="shared" si="53"/>
        <v>0</v>
      </c>
    </row>
    <row r="42" spans="1:57" x14ac:dyDescent="0.25">
      <c r="A42" s="252" t="s">
        <v>33</v>
      </c>
      <c r="B42" s="253">
        <f>1952-86.3*D+4.14*D^2</f>
        <v>1831.865</v>
      </c>
      <c r="C42" s="253" t="s">
        <v>1</v>
      </c>
      <c r="D42" s="254" t="s">
        <v>34</v>
      </c>
      <c r="F42" s="55">
        <f t="shared" si="22"/>
        <v>4.0771212547196649</v>
      </c>
      <c r="G42" s="56">
        <f t="shared" si="48"/>
        <v>11943.215116604988</v>
      </c>
      <c r="H42" s="57">
        <f t="shared" si="0"/>
        <v>11940.215116604988</v>
      </c>
      <c r="I42" s="56">
        <f t="shared" si="1"/>
        <v>146.71207326847241</v>
      </c>
      <c r="J42" s="57">
        <f t="shared" si="2"/>
        <v>163.7017733118326</v>
      </c>
      <c r="K42" s="56">
        <f t="shared" si="3"/>
        <v>163.40119999543535</v>
      </c>
      <c r="L42" s="57">
        <f t="shared" si="4"/>
        <v>153.71888425874326</v>
      </c>
      <c r="M42" s="58">
        <f t="shared" si="49"/>
        <v>0</v>
      </c>
      <c r="N42" s="59">
        <f t="shared" si="49"/>
        <v>0</v>
      </c>
      <c r="O42" s="59">
        <f t="shared" si="6"/>
        <v>0</v>
      </c>
      <c r="P42" s="59">
        <f t="shared" si="7"/>
        <v>0</v>
      </c>
      <c r="Q42" s="59">
        <f t="shared" si="8"/>
        <v>0</v>
      </c>
      <c r="R42" s="59">
        <f t="shared" si="9"/>
        <v>0</v>
      </c>
      <c r="S42" s="59">
        <f t="shared" si="23"/>
        <v>0</v>
      </c>
      <c r="T42" s="59">
        <f t="shared" si="24"/>
        <v>0</v>
      </c>
      <c r="U42" s="59">
        <f t="shared" si="25"/>
        <v>0</v>
      </c>
      <c r="V42" s="59">
        <f t="shared" si="50"/>
        <v>0</v>
      </c>
      <c r="W42" s="59">
        <f t="shared" si="50"/>
        <v>0</v>
      </c>
      <c r="X42" s="59">
        <f t="shared" si="26"/>
        <v>0</v>
      </c>
      <c r="Y42" s="60">
        <f t="shared" si="27"/>
        <v>13936.622229050105</v>
      </c>
      <c r="Z42" s="58">
        <f t="shared" si="28"/>
        <v>0</v>
      </c>
      <c r="AA42" s="59">
        <f t="shared" si="29"/>
        <v>0</v>
      </c>
      <c r="AB42" s="59">
        <f t="shared" si="30"/>
        <v>0</v>
      </c>
      <c r="AC42" s="60">
        <f t="shared" si="31"/>
        <v>0</v>
      </c>
      <c r="AD42" s="58">
        <f t="shared" si="11"/>
        <v>163.69284632298982</v>
      </c>
      <c r="AE42" s="61">
        <f t="shared" si="12"/>
        <v>0</v>
      </c>
      <c r="AF42" s="59">
        <f t="shared" si="13"/>
        <v>163.69284632298982</v>
      </c>
      <c r="AG42" s="61">
        <f t="shared" si="14"/>
        <v>0</v>
      </c>
      <c r="AH42" s="62">
        <f t="shared" si="32"/>
        <v>0</v>
      </c>
      <c r="AI42" s="59">
        <f t="shared" si="33"/>
        <v>0</v>
      </c>
      <c r="AJ42" s="60">
        <f t="shared" si="34"/>
        <v>0</v>
      </c>
      <c r="AK42" s="58">
        <f t="shared" si="15"/>
        <v>143.95845803922344</v>
      </c>
      <c r="AL42" s="61">
        <f t="shared" si="16"/>
        <v>0</v>
      </c>
      <c r="AM42" s="59">
        <f t="shared" si="17"/>
        <v>143.95845803922344</v>
      </c>
      <c r="AN42" s="61">
        <f t="shared" si="16"/>
        <v>0</v>
      </c>
      <c r="AO42" s="59">
        <f t="shared" si="35"/>
        <v>0</v>
      </c>
      <c r="AP42" s="59">
        <f t="shared" si="36"/>
        <v>0</v>
      </c>
      <c r="AQ42" s="60">
        <f t="shared" si="37"/>
        <v>0</v>
      </c>
      <c r="AR42" s="58">
        <f t="shared" si="38"/>
        <v>136.83236982894437</v>
      </c>
      <c r="AS42" s="61">
        <f t="shared" si="18"/>
        <v>0</v>
      </c>
      <c r="AT42" s="59">
        <f t="shared" si="39"/>
        <v>136.83236982894437</v>
      </c>
      <c r="AU42" s="61">
        <f t="shared" si="19"/>
        <v>0</v>
      </c>
      <c r="AV42" s="59">
        <f t="shared" si="40"/>
        <v>0</v>
      </c>
      <c r="AW42" s="59">
        <f t="shared" si="41"/>
        <v>0</v>
      </c>
      <c r="AX42" s="60">
        <f t="shared" si="42"/>
        <v>0</v>
      </c>
      <c r="AY42" s="58">
        <f t="shared" si="43"/>
        <v>161.62000823668572</v>
      </c>
      <c r="AZ42" s="61">
        <f t="shared" si="20"/>
        <v>0</v>
      </c>
      <c r="BA42" s="59">
        <f t="shared" si="44"/>
        <v>161.62000823668572</v>
      </c>
      <c r="BB42" s="61">
        <f t="shared" si="21"/>
        <v>0</v>
      </c>
      <c r="BC42" s="59">
        <f t="shared" si="51"/>
        <v>0</v>
      </c>
      <c r="BD42" s="59">
        <f t="shared" si="52"/>
        <v>0</v>
      </c>
      <c r="BE42" s="60">
        <f t="shared" si="53"/>
        <v>0</v>
      </c>
    </row>
    <row r="43" spans="1:57" x14ac:dyDescent="0.25">
      <c r="A43" s="255" t="s">
        <v>38</v>
      </c>
      <c r="B43" s="247">
        <f>Vsed/Vw</f>
        <v>1.1977801882683554</v>
      </c>
      <c r="C43" s="247"/>
      <c r="D43" s="256" t="s">
        <v>58</v>
      </c>
      <c r="F43" s="55">
        <f t="shared" si="22"/>
        <v>4.1771212547196646</v>
      </c>
      <c r="G43" s="56">
        <f t="shared" si="48"/>
        <v>15035.617008818243</v>
      </c>
      <c r="H43" s="57">
        <f t="shared" si="0"/>
        <v>15032.617008818243</v>
      </c>
      <c r="I43" s="56">
        <f t="shared" si="1"/>
        <v>141.69541233703984</v>
      </c>
      <c r="J43" s="57">
        <f t="shared" si="2"/>
        <v>158.68511238040003</v>
      </c>
      <c r="K43" s="56">
        <f t="shared" si="3"/>
        <v>157.37619021678483</v>
      </c>
      <c r="L43" s="57">
        <f t="shared" si="4"/>
        <v>147.94972418759579</v>
      </c>
      <c r="M43" s="58">
        <f t="shared" si="49"/>
        <v>0</v>
      </c>
      <c r="N43" s="59">
        <f t="shared" si="49"/>
        <v>0</v>
      </c>
      <c r="O43" s="59">
        <f t="shared" si="6"/>
        <v>0</v>
      </c>
      <c r="P43" s="59">
        <f t="shared" si="7"/>
        <v>0</v>
      </c>
      <c r="Q43" s="59">
        <f t="shared" si="8"/>
        <v>0</v>
      </c>
      <c r="R43" s="59">
        <f t="shared" si="9"/>
        <v>0</v>
      </c>
      <c r="S43" s="59">
        <f t="shared" si="23"/>
        <v>0</v>
      </c>
      <c r="T43" s="59">
        <f t="shared" si="24"/>
        <v>0</v>
      </c>
      <c r="U43" s="59">
        <f t="shared" si="25"/>
        <v>0</v>
      </c>
      <c r="V43" s="59">
        <f t="shared" si="50"/>
        <v>0</v>
      </c>
      <c r="W43" s="59">
        <f t="shared" si="50"/>
        <v>0</v>
      </c>
      <c r="X43" s="59">
        <f t="shared" si="26"/>
        <v>0</v>
      </c>
      <c r="Y43" s="60">
        <f t="shared" si="27"/>
        <v>0</v>
      </c>
      <c r="Z43" s="58">
        <f t="shared" si="28"/>
        <v>0</v>
      </c>
      <c r="AA43" s="59">
        <f t="shared" si="29"/>
        <v>0</v>
      </c>
      <c r="AB43" s="59">
        <f t="shared" si="30"/>
        <v>0</v>
      </c>
      <c r="AC43" s="60">
        <f t="shared" si="31"/>
        <v>0</v>
      </c>
      <c r="AD43" s="58">
        <f t="shared" si="11"/>
        <v>158.67618539155725</v>
      </c>
      <c r="AE43" s="61">
        <f t="shared" si="12"/>
        <v>0</v>
      </c>
      <c r="AF43" s="59">
        <f t="shared" si="13"/>
        <v>158.67618539155725</v>
      </c>
      <c r="AG43" s="61">
        <f t="shared" si="14"/>
        <v>0</v>
      </c>
      <c r="AH43" s="62">
        <f t="shared" si="32"/>
        <v>0</v>
      </c>
      <c r="AI43" s="59">
        <f t="shared" si="33"/>
        <v>0</v>
      </c>
      <c r="AJ43" s="60">
        <f t="shared" si="34"/>
        <v>0</v>
      </c>
      <c r="AK43" s="58">
        <f t="shared" si="15"/>
        <v>138.94179710779088</v>
      </c>
      <c r="AL43" s="61">
        <f t="shared" si="16"/>
        <v>0</v>
      </c>
      <c r="AM43" s="59">
        <f t="shared" si="17"/>
        <v>138.94179710779088</v>
      </c>
      <c r="AN43" s="61">
        <f t="shared" si="16"/>
        <v>0</v>
      </c>
      <c r="AO43" s="59">
        <f t="shared" si="35"/>
        <v>0</v>
      </c>
      <c r="AP43" s="59">
        <f t="shared" si="36"/>
        <v>0</v>
      </c>
      <c r="AQ43" s="60">
        <f t="shared" si="37"/>
        <v>0</v>
      </c>
      <c r="AR43" s="58">
        <f t="shared" si="38"/>
        <v>131.8157088975118</v>
      </c>
      <c r="AS43" s="61">
        <f t="shared" si="18"/>
        <v>0</v>
      </c>
      <c r="AT43" s="59">
        <f t="shared" si="39"/>
        <v>131.8157088975118</v>
      </c>
      <c r="AU43" s="61">
        <f t="shared" si="19"/>
        <v>0</v>
      </c>
      <c r="AV43" s="59">
        <f t="shared" si="40"/>
        <v>0</v>
      </c>
      <c r="AW43" s="59">
        <f t="shared" si="41"/>
        <v>0</v>
      </c>
      <c r="AX43" s="60">
        <f t="shared" si="42"/>
        <v>0</v>
      </c>
      <c r="AY43" s="58">
        <f t="shared" si="43"/>
        <v>156.60334730525315</v>
      </c>
      <c r="AZ43" s="61">
        <f t="shared" si="20"/>
        <v>0</v>
      </c>
      <c r="BA43" s="59">
        <f t="shared" si="44"/>
        <v>156.60334730525315</v>
      </c>
      <c r="BB43" s="61">
        <f t="shared" si="21"/>
        <v>0</v>
      </c>
      <c r="BC43" s="59">
        <f t="shared" si="51"/>
        <v>0</v>
      </c>
      <c r="BD43" s="59">
        <f t="shared" si="52"/>
        <v>0</v>
      </c>
      <c r="BE43" s="60">
        <f t="shared" si="53"/>
        <v>0</v>
      </c>
    </row>
    <row r="44" spans="1:57" x14ac:dyDescent="0.25">
      <c r="A44" s="252" t="s">
        <v>35</v>
      </c>
      <c r="B44" s="253">
        <f>1/csed</f>
        <v>0.83487772614248323</v>
      </c>
      <c r="C44" s="253"/>
      <c r="D44" s="254"/>
      <c r="F44" s="55">
        <f t="shared" si="22"/>
        <v>4.2771212547196642</v>
      </c>
      <c r="G44" s="56">
        <f t="shared" si="48"/>
        <v>18928.720334405905</v>
      </c>
      <c r="H44" s="57">
        <f t="shared" si="0"/>
        <v>18925.720334405905</v>
      </c>
      <c r="I44" s="56">
        <f t="shared" si="1"/>
        <v>135.63873581989853</v>
      </c>
      <c r="J44" s="57">
        <f t="shared" si="2"/>
        <v>152.62843586325872</v>
      </c>
      <c r="K44" s="56">
        <f t="shared" si="3"/>
        <v>150.10212171969812</v>
      </c>
      <c r="L44" s="57">
        <f t="shared" si="4"/>
        <v>140.9845461928833</v>
      </c>
      <c r="M44" s="58">
        <f t="shared" si="49"/>
        <v>0</v>
      </c>
      <c r="N44" s="59">
        <f t="shared" si="49"/>
        <v>0</v>
      </c>
      <c r="O44" s="59">
        <f t="shared" si="6"/>
        <v>0</v>
      </c>
      <c r="P44" s="59">
        <f t="shared" si="7"/>
        <v>0</v>
      </c>
      <c r="Q44" s="59">
        <f t="shared" si="8"/>
        <v>0</v>
      </c>
      <c r="R44" s="59">
        <f t="shared" si="9"/>
        <v>0</v>
      </c>
      <c r="S44" s="59">
        <f t="shared" si="23"/>
        <v>0</v>
      </c>
      <c r="T44" s="59">
        <f t="shared" si="24"/>
        <v>0</v>
      </c>
      <c r="U44" s="59">
        <f t="shared" si="25"/>
        <v>0</v>
      </c>
      <c r="V44" s="59">
        <f t="shared" si="50"/>
        <v>0</v>
      </c>
      <c r="W44" s="59">
        <f t="shared" si="50"/>
        <v>0</v>
      </c>
      <c r="X44" s="59">
        <f t="shared" si="26"/>
        <v>0</v>
      </c>
      <c r="Y44" s="60">
        <f t="shared" si="27"/>
        <v>0</v>
      </c>
      <c r="Z44" s="58">
        <f t="shared" si="28"/>
        <v>0</v>
      </c>
      <c r="AA44" s="59">
        <f t="shared" si="29"/>
        <v>0</v>
      </c>
      <c r="AB44" s="59">
        <f t="shared" si="30"/>
        <v>0</v>
      </c>
      <c r="AC44" s="60">
        <f t="shared" si="31"/>
        <v>0</v>
      </c>
      <c r="AD44" s="58">
        <f t="shared" si="11"/>
        <v>152.61950887441594</v>
      </c>
      <c r="AE44" s="61">
        <f t="shared" si="12"/>
        <v>0</v>
      </c>
      <c r="AF44" s="59">
        <f t="shared" si="13"/>
        <v>152.61950887441594</v>
      </c>
      <c r="AG44" s="61">
        <f t="shared" si="14"/>
        <v>0</v>
      </c>
      <c r="AH44" s="62">
        <f t="shared" si="32"/>
        <v>0</v>
      </c>
      <c r="AI44" s="59">
        <f t="shared" si="33"/>
        <v>0</v>
      </c>
      <c r="AJ44" s="60">
        <f t="shared" si="34"/>
        <v>0</v>
      </c>
      <c r="AK44" s="58">
        <f t="shared" si="15"/>
        <v>132.88512059064956</v>
      </c>
      <c r="AL44" s="61">
        <f t="shared" si="16"/>
        <v>0</v>
      </c>
      <c r="AM44" s="59">
        <f t="shared" si="17"/>
        <v>132.88512059064956</v>
      </c>
      <c r="AN44" s="61">
        <f t="shared" si="16"/>
        <v>0</v>
      </c>
      <c r="AO44" s="59">
        <f t="shared" si="35"/>
        <v>0</v>
      </c>
      <c r="AP44" s="59">
        <f t="shared" si="36"/>
        <v>0</v>
      </c>
      <c r="AQ44" s="60">
        <f t="shared" si="37"/>
        <v>0</v>
      </c>
      <c r="AR44" s="58">
        <f t="shared" si="38"/>
        <v>125.75903238037048</v>
      </c>
      <c r="AS44" s="61">
        <f t="shared" si="18"/>
        <v>0</v>
      </c>
      <c r="AT44" s="59">
        <f t="shared" si="39"/>
        <v>125.75903238037048</v>
      </c>
      <c r="AU44" s="61">
        <f t="shared" si="19"/>
        <v>0</v>
      </c>
      <c r="AV44" s="59">
        <f t="shared" si="40"/>
        <v>0</v>
      </c>
      <c r="AW44" s="59">
        <f t="shared" si="41"/>
        <v>0</v>
      </c>
      <c r="AX44" s="60">
        <f t="shared" si="42"/>
        <v>0</v>
      </c>
      <c r="AY44" s="58">
        <f t="shared" si="43"/>
        <v>150.54667078811184</v>
      </c>
      <c r="AZ44" s="61">
        <f t="shared" si="20"/>
        <v>0</v>
      </c>
      <c r="BA44" s="59">
        <f t="shared" si="44"/>
        <v>150.54667078811184</v>
      </c>
      <c r="BB44" s="61">
        <f t="shared" si="21"/>
        <v>0</v>
      </c>
      <c r="BC44" s="59">
        <f t="shared" si="51"/>
        <v>0</v>
      </c>
      <c r="BD44" s="59">
        <f t="shared" si="52"/>
        <v>0</v>
      </c>
      <c r="BE44" s="60">
        <f t="shared" si="53"/>
        <v>0</v>
      </c>
    </row>
    <row r="45" spans="1:57" x14ac:dyDescent="0.25">
      <c r="A45" s="255" t="s">
        <v>44</v>
      </c>
      <c r="B45" s="247">
        <f>SQRT(1-costhetac^2)</f>
        <v>0.55043544797837718</v>
      </c>
      <c r="C45" s="247"/>
      <c r="D45" s="256"/>
      <c r="F45" s="55">
        <f t="shared" si="22"/>
        <v>4.3771212547196638</v>
      </c>
      <c r="G45" s="56">
        <f t="shared" si="48"/>
        <v>23829.847041728561</v>
      </c>
      <c r="H45" s="57">
        <f t="shared" si="0"/>
        <v>23826.847041728561</v>
      </c>
      <c r="I45" s="56">
        <f t="shared" si="1"/>
        <v>128.27275725324654</v>
      </c>
      <c r="J45" s="57">
        <f t="shared" si="2"/>
        <v>145.26245729660673</v>
      </c>
      <c r="K45" s="56">
        <f t="shared" si="3"/>
        <v>141.25558146114909</v>
      </c>
      <c r="L45" s="57">
        <f t="shared" si="4"/>
        <v>132.51367084123351</v>
      </c>
      <c r="M45" s="58">
        <f t="shared" si="49"/>
        <v>0</v>
      </c>
      <c r="N45" s="59">
        <f t="shared" si="49"/>
        <v>0</v>
      </c>
      <c r="O45" s="59">
        <f t="shared" si="6"/>
        <v>0</v>
      </c>
      <c r="P45" s="59">
        <f t="shared" si="7"/>
        <v>0</v>
      </c>
      <c r="Q45" s="59">
        <f t="shared" si="8"/>
        <v>0</v>
      </c>
      <c r="R45" s="59">
        <f t="shared" si="9"/>
        <v>0</v>
      </c>
      <c r="S45" s="59">
        <f t="shared" si="23"/>
        <v>0</v>
      </c>
      <c r="T45" s="59">
        <f t="shared" si="24"/>
        <v>0</v>
      </c>
      <c r="U45" s="59">
        <f t="shared" si="25"/>
        <v>0</v>
      </c>
      <c r="V45" s="59">
        <f t="shared" si="50"/>
        <v>0</v>
      </c>
      <c r="W45" s="59">
        <f t="shared" si="50"/>
        <v>0</v>
      </c>
      <c r="X45" s="59">
        <f t="shared" si="26"/>
        <v>0</v>
      </c>
      <c r="Y45" s="60">
        <f t="shared" si="27"/>
        <v>0</v>
      </c>
      <c r="Z45" s="58">
        <f t="shared" si="28"/>
        <v>0</v>
      </c>
      <c r="AA45" s="59">
        <f t="shared" si="29"/>
        <v>0</v>
      </c>
      <c r="AB45" s="59">
        <f t="shared" si="30"/>
        <v>0</v>
      </c>
      <c r="AC45" s="60">
        <f t="shared" si="31"/>
        <v>0</v>
      </c>
      <c r="AD45" s="58">
        <f t="shared" si="11"/>
        <v>145.25353030776395</v>
      </c>
      <c r="AE45" s="61">
        <f t="shared" si="12"/>
        <v>0</v>
      </c>
      <c r="AF45" s="59">
        <f t="shared" si="13"/>
        <v>145.25353030776395</v>
      </c>
      <c r="AG45" s="61">
        <f t="shared" si="14"/>
        <v>0</v>
      </c>
      <c r="AH45" s="62">
        <f t="shared" si="32"/>
        <v>0</v>
      </c>
      <c r="AI45" s="59">
        <f t="shared" si="33"/>
        <v>0</v>
      </c>
      <c r="AJ45" s="60">
        <f t="shared" si="34"/>
        <v>0</v>
      </c>
      <c r="AK45" s="58">
        <f t="shared" si="15"/>
        <v>125.51914202399757</v>
      </c>
      <c r="AL45" s="61">
        <f t="shared" si="16"/>
        <v>0</v>
      </c>
      <c r="AM45" s="59">
        <f t="shared" si="17"/>
        <v>125.51914202399757</v>
      </c>
      <c r="AN45" s="61">
        <f t="shared" si="16"/>
        <v>0</v>
      </c>
      <c r="AO45" s="59">
        <f t="shared" si="35"/>
        <v>0</v>
      </c>
      <c r="AP45" s="59">
        <f t="shared" si="36"/>
        <v>0</v>
      </c>
      <c r="AQ45" s="60">
        <f t="shared" si="37"/>
        <v>0</v>
      </c>
      <c r="AR45" s="58">
        <f t="shared" si="38"/>
        <v>118.3930538137185</v>
      </c>
      <c r="AS45" s="61">
        <f t="shared" si="18"/>
        <v>0</v>
      </c>
      <c r="AT45" s="59">
        <f t="shared" si="39"/>
        <v>118.3930538137185</v>
      </c>
      <c r="AU45" s="61">
        <f t="shared" si="19"/>
        <v>0</v>
      </c>
      <c r="AV45" s="59">
        <f t="shared" si="40"/>
        <v>0</v>
      </c>
      <c r="AW45" s="59">
        <f t="shared" si="41"/>
        <v>0</v>
      </c>
      <c r="AX45" s="60">
        <f t="shared" si="42"/>
        <v>0</v>
      </c>
      <c r="AY45" s="58">
        <f t="shared" si="43"/>
        <v>143.18069222145985</v>
      </c>
      <c r="AZ45" s="61">
        <f t="shared" si="20"/>
        <v>0</v>
      </c>
      <c r="BA45" s="59">
        <f t="shared" si="44"/>
        <v>143.18069222145985</v>
      </c>
      <c r="BB45" s="61">
        <f t="shared" si="21"/>
        <v>0</v>
      </c>
      <c r="BC45" s="59">
        <f t="shared" si="51"/>
        <v>0</v>
      </c>
      <c r="BD45" s="59">
        <f t="shared" si="52"/>
        <v>0</v>
      </c>
      <c r="BE45" s="60">
        <f t="shared" si="53"/>
        <v>0</v>
      </c>
    </row>
    <row r="46" spans="1:57" x14ac:dyDescent="0.25">
      <c r="A46" s="252" t="s">
        <v>36</v>
      </c>
      <c r="B46" s="253">
        <f>2380-172.5*D+6.89*D^2</f>
        <v>2136.7525000000001</v>
      </c>
      <c r="C46" s="253" t="s">
        <v>23</v>
      </c>
      <c r="D46" s="254"/>
      <c r="F46" s="55">
        <f t="shared" si="22"/>
        <v>4.4771212547196635</v>
      </c>
      <c r="G46" s="56">
        <f t="shared" si="48"/>
        <v>30000.000000000116</v>
      </c>
      <c r="H46" s="57">
        <f t="shared" si="0"/>
        <v>29997.000000000116</v>
      </c>
      <c r="I46" s="56">
        <f t="shared" si="1"/>
        <v>119.25846506475136</v>
      </c>
      <c r="J46" s="57">
        <f t="shared" si="2"/>
        <v>136.24816510811155</v>
      </c>
      <c r="K46" s="56">
        <f t="shared" si="3"/>
        <v>130.42941654276638</v>
      </c>
      <c r="L46" s="57">
        <f t="shared" si="4"/>
        <v>122.14723482446405</v>
      </c>
      <c r="M46" s="58">
        <f t="shared" si="49"/>
        <v>0</v>
      </c>
      <c r="N46" s="59">
        <f t="shared" si="49"/>
        <v>0</v>
      </c>
      <c r="O46" s="59">
        <f t="shared" si="6"/>
        <v>0</v>
      </c>
      <c r="P46" s="59">
        <f t="shared" si="7"/>
        <v>0</v>
      </c>
      <c r="Q46" s="59">
        <f t="shared" si="8"/>
        <v>0</v>
      </c>
      <c r="R46" s="59">
        <f t="shared" si="9"/>
        <v>0</v>
      </c>
      <c r="S46" s="59">
        <f t="shared" si="23"/>
        <v>0</v>
      </c>
      <c r="T46" s="59">
        <f t="shared" si="24"/>
        <v>0</v>
      </c>
      <c r="U46" s="59">
        <f t="shared" si="25"/>
        <v>0</v>
      </c>
      <c r="V46" s="59">
        <f t="shared" si="50"/>
        <v>0</v>
      </c>
      <c r="W46" s="59">
        <f t="shared" si="50"/>
        <v>0</v>
      </c>
      <c r="X46" s="59">
        <f t="shared" si="26"/>
        <v>0</v>
      </c>
      <c r="Y46" s="60">
        <f t="shared" si="27"/>
        <v>0</v>
      </c>
      <c r="Z46" s="58">
        <f t="shared" si="28"/>
        <v>0</v>
      </c>
      <c r="AA46" s="59">
        <f t="shared" si="29"/>
        <v>0</v>
      </c>
      <c r="AB46" s="59">
        <f t="shared" si="30"/>
        <v>0</v>
      </c>
      <c r="AC46" s="60">
        <f t="shared" si="31"/>
        <v>0</v>
      </c>
      <c r="AD46" s="58">
        <f t="shared" si="11"/>
        <v>136.23923811926878</v>
      </c>
      <c r="AE46" s="61">
        <f t="shared" si="12"/>
        <v>0</v>
      </c>
      <c r="AF46" s="59">
        <f t="shared" si="13"/>
        <v>136.23923811926878</v>
      </c>
      <c r="AG46" s="61">
        <f t="shared" si="14"/>
        <v>0</v>
      </c>
      <c r="AH46" s="62">
        <f t="shared" si="32"/>
        <v>0</v>
      </c>
      <c r="AI46" s="59">
        <f t="shared" si="33"/>
        <v>0</v>
      </c>
      <c r="AJ46" s="60">
        <f t="shared" si="34"/>
        <v>0</v>
      </c>
      <c r="AK46" s="58">
        <f t="shared" si="15"/>
        <v>116.5048498355024</v>
      </c>
      <c r="AL46" s="61">
        <f t="shared" si="16"/>
        <v>0</v>
      </c>
      <c r="AM46" s="59">
        <f t="shared" si="17"/>
        <v>116.5048498355024</v>
      </c>
      <c r="AN46" s="61">
        <f t="shared" si="16"/>
        <v>0</v>
      </c>
      <c r="AO46" s="59">
        <f t="shared" si="35"/>
        <v>0</v>
      </c>
      <c r="AP46" s="59">
        <f t="shared" si="36"/>
        <v>0</v>
      </c>
      <c r="AQ46" s="60">
        <f t="shared" si="37"/>
        <v>0</v>
      </c>
      <c r="AR46" s="58">
        <f t="shared" si="38"/>
        <v>109.37876162522332</v>
      </c>
      <c r="AS46" s="61">
        <f t="shared" si="18"/>
        <v>0</v>
      </c>
      <c r="AT46" s="59">
        <f t="shared" si="39"/>
        <v>109.37876162522332</v>
      </c>
      <c r="AU46" s="61">
        <f t="shared" si="19"/>
        <v>0</v>
      </c>
      <c r="AV46" s="59">
        <f t="shared" si="40"/>
        <v>0</v>
      </c>
      <c r="AW46" s="59">
        <f t="shared" si="41"/>
        <v>0</v>
      </c>
      <c r="AX46" s="60">
        <f t="shared" si="42"/>
        <v>0</v>
      </c>
      <c r="AY46" s="58">
        <f t="shared" si="43"/>
        <v>134.16640003296467</v>
      </c>
      <c r="AZ46" s="61">
        <f t="shared" si="20"/>
        <v>0</v>
      </c>
      <c r="BA46" s="59">
        <f t="shared" si="44"/>
        <v>134.16640003296467</v>
      </c>
      <c r="BB46" s="61">
        <f t="shared" si="21"/>
        <v>0</v>
      </c>
      <c r="BC46" s="59">
        <f t="shared" si="51"/>
        <v>0</v>
      </c>
      <c r="BD46" s="59">
        <f t="shared" si="52"/>
        <v>0</v>
      </c>
      <c r="BE46" s="60">
        <f t="shared" si="53"/>
        <v>0</v>
      </c>
    </row>
    <row r="47" spans="1:57" ht="15.75" thickBot="1" x14ac:dyDescent="0.3">
      <c r="A47" s="255" t="s">
        <v>37</v>
      </c>
      <c r="B47" s="247">
        <f>rhosed/rhow</f>
        <v>2.076533041788144</v>
      </c>
      <c r="C47" s="247"/>
      <c r="D47" s="256" t="s">
        <v>59</v>
      </c>
      <c r="F47" s="55">
        <f t="shared" si="22"/>
        <v>4.5771212547196631</v>
      </c>
      <c r="G47" s="56">
        <f t="shared" si="48"/>
        <v>37767.762353825128</v>
      </c>
      <c r="H47" s="57">
        <f t="shared" si="0"/>
        <v>37764.762353825128</v>
      </c>
      <c r="I47" s="56">
        <f t="shared" si="1"/>
        <v>108.1690689711113</v>
      </c>
      <c r="J47" s="57">
        <f t="shared" si="2"/>
        <v>125.15876901447149</v>
      </c>
      <c r="K47" s="56">
        <f t="shared" si="3"/>
        <v>117.11105183430469</v>
      </c>
      <c r="L47" s="57">
        <f t="shared" si="4"/>
        <v>109.39442931677799</v>
      </c>
      <c r="M47" s="58">
        <f t="shared" si="49"/>
        <v>0</v>
      </c>
      <c r="N47" s="59">
        <f t="shared" si="49"/>
        <v>0</v>
      </c>
      <c r="O47" s="59">
        <f t="shared" si="6"/>
        <v>0</v>
      </c>
      <c r="P47" s="59">
        <f t="shared" si="7"/>
        <v>0</v>
      </c>
      <c r="Q47" s="59">
        <f t="shared" si="8"/>
        <v>0</v>
      </c>
      <c r="R47" s="59">
        <f t="shared" si="9"/>
        <v>0</v>
      </c>
      <c r="S47" s="59">
        <f t="shared" si="23"/>
        <v>0</v>
      </c>
      <c r="T47" s="59">
        <f t="shared" si="24"/>
        <v>0</v>
      </c>
      <c r="U47" s="59">
        <f t="shared" si="25"/>
        <v>0</v>
      </c>
      <c r="V47" s="59">
        <f t="shared" si="50"/>
        <v>0</v>
      </c>
      <c r="W47" s="59">
        <f t="shared" si="50"/>
        <v>0</v>
      </c>
      <c r="X47" s="59">
        <f t="shared" si="26"/>
        <v>0</v>
      </c>
      <c r="Y47" s="60">
        <f t="shared" si="27"/>
        <v>0</v>
      </c>
      <c r="Z47" s="58">
        <f t="shared" si="28"/>
        <v>0</v>
      </c>
      <c r="AA47" s="59">
        <f t="shared" si="29"/>
        <v>0</v>
      </c>
      <c r="AB47" s="59">
        <f t="shared" si="30"/>
        <v>0</v>
      </c>
      <c r="AC47" s="60">
        <f t="shared" si="31"/>
        <v>0</v>
      </c>
      <c r="AD47" s="58">
        <f t="shared" si="11"/>
        <v>125.14984202562873</v>
      </c>
      <c r="AE47" s="61">
        <f t="shared" si="12"/>
        <v>0</v>
      </c>
      <c r="AF47" s="59">
        <f t="shared" si="13"/>
        <v>125.14984202562873</v>
      </c>
      <c r="AG47" s="61">
        <f t="shared" si="14"/>
        <v>0</v>
      </c>
      <c r="AH47" s="62">
        <f t="shared" si="32"/>
        <v>0</v>
      </c>
      <c r="AI47" s="59">
        <f t="shared" si="33"/>
        <v>0</v>
      </c>
      <c r="AJ47" s="60">
        <f t="shared" si="34"/>
        <v>0</v>
      </c>
      <c r="AK47" s="58">
        <f t="shared" si="15"/>
        <v>105.41545374186234</v>
      </c>
      <c r="AL47" s="61">
        <f t="shared" si="16"/>
        <v>0</v>
      </c>
      <c r="AM47" s="59">
        <f t="shared" si="17"/>
        <v>105.41545374186234</v>
      </c>
      <c r="AN47" s="61">
        <f t="shared" si="16"/>
        <v>0</v>
      </c>
      <c r="AO47" s="59">
        <f t="shared" si="35"/>
        <v>0</v>
      </c>
      <c r="AP47" s="59">
        <f t="shared" si="36"/>
        <v>0</v>
      </c>
      <c r="AQ47" s="60">
        <f t="shared" si="37"/>
        <v>0</v>
      </c>
      <c r="AR47" s="58">
        <f t="shared" si="38"/>
        <v>98.289365531583258</v>
      </c>
      <c r="AS47" s="61">
        <f t="shared" si="18"/>
        <v>0</v>
      </c>
      <c r="AT47" s="59">
        <f t="shared" si="39"/>
        <v>98.289365531583258</v>
      </c>
      <c r="AU47" s="61">
        <f t="shared" si="19"/>
        <v>0</v>
      </c>
      <c r="AV47" s="59">
        <f t="shared" si="40"/>
        <v>0</v>
      </c>
      <c r="AW47" s="59">
        <f t="shared" si="41"/>
        <v>0</v>
      </c>
      <c r="AX47" s="60">
        <f t="shared" si="42"/>
        <v>0</v>
      </c>
      <c r="AY47" s="58">
        <f t="shared" si="43"/>
        <v>123.07700393932461</v>
      </c>
      <c r="AZ47" s="61">
        <f t="shared" si="20"/>
        <v>0</v>
      </c>
      <c r="BA47" s="59">
        <f t="shared" si="44"/>
        <v>123.07700393932461</v>
      </c>
      <c r="BB47" s="61">
        <f t="shared" si="21"/>
        <v>0</v>
      </c>
      <c r="BC47" s="59">
        <f t="shared" si="51"/>
        <v>0</v>
      </c>
      <c r="BD47" s="59">
        <f t="shared" si="52"/>
        <v>0</v>
      </c>
      <c r="BE47" s="60">
        <f t="shared" si="53"/>
        <v>0</v>
      </c>
    </row>
    <row r="48" spans="1:57" ht="15.75" thickBot="1" x14ac:dyDescent="0.3">
      <c r="A48" s="312" t="s">
        <v>40</v>
      </c>
      <c r="B48" s="313"/>
      <c r="C48" s="313"/>
      <c r="D48" s="314"/>
      <c r="F48" s="55">
        <f t="shared" si="22"/>
        <v>4.6771212547196628</v>
      </c>
      <c r="G48" s="56">
        <f t="shared" si="48"/>
        <v>47546.795773833495</v>
      </c>
      <c r="H48" s="57">
        <f t="shared" si="0"/>
        <v>47543.795773833495</v>
      </c>
      <c r="I48" s="56">
        <f t="shared" si="1"/>
        <v>94.467271839171019</v>
      </c>
      <c r="J48" s="57">
        <f t="shared" si="2"/>
        <v>111.45697188253121</v>
      </c>
      <c r="K48" s="56">
        <f t="shared" si="3"/>
        <v>100.65519347884441</v>
      </c>
      <c r="L48" s="57">
        <f t="shared" si="4"/>
        <v>93.637362615046669</v>
      </c>
      <c r="M48" s="58">
        <f t="shared" si="49"/>
        <v>0</v>
      </c>
      <c r="N48" s="59">
        <f t="shared" si="49"/>
        <v>0</v>
      </c>
      <c r="O48" s="59">
        <f t="shared" si="6"/>
        <v>0</v>
      </c>
      <c r="P48" s="59">
        <f t="shared" si="7"/>
        <v>0</v>
      </c>
      <c r="Q48" s="59">
        <f t="shared" si="8"/>
        <v>0</v>
      </c>
      <c r="R48" s="59">
        <f t="shared" si="9"/>
        <v>0</v>
      </c>
      <c r="S48" s="59">
        <f t="shared" si="23"/>
        <v>0</v>
      </c>
      <c r="T48" s="59">
        <f t="shared" si="24"/>
        <v>0</v>
      </c>
      <c r="U48" s="59">
        <f t="shared" si="25"/>
        <v>0</v>
      </c>
      <c r="V48" s="59">
        <f t="shared" si="50"/>
        <v>0</v>
      </c>
      <c r="W48" s="59">
        <f t="shared" si="50"/>
        <v>0</v>
      </c>
      <c r="X48" s="59">
        <f t="shared" si="26"/>
        <v>0</v>
      </c>
      <c r="Y48" s="60">
        <f t="shared" si="27"/>
        <v>0</v>
      </c>
      <c r="Z48" s="58">
        <f t="shared" si="28"/>
        <v>0</v>
      </c>
      <c r="AA48" s="59">
        <f t="shared" si="29"/>
        <v>0</v>
      </c>
      <c r="AB48" s="59">
        <f t="shared" si="30"/>
        <v>0</v>
      </c>
      <c r="AC48" s="60">
        <f t="shared" si="31"/>
        <v>0</v>
      </c>
      <c r="AD48" s="58">
        <f t="shared" si="11"/>
        <v>111.44804489368845</v>
      </c>
      <c r="AE48" s="61">
        <f t="shared" si="12"/>
        <v>0</v>
      </c>
      <c r="AF48" s="59">
        <f t="shared" si="13"/>
        <v>111.44804489368845</v>
      </c>
      <c r="AG48" s="61">
        <f t="shared" si="14"/>
        <v>0</v>
      </c>
      <c r="AH48" s="62">
        <f t="shared" si="32"/>
        <v>0</v>
      </c>
      <c r="AI48" s="59">
        <f t="shared" si="33"/>
        <v>0</v>
      </c>
      <c r="AJ48" s="60">
        <f t="shared" si="34"/>
        <v>0</v>
      </c>
      <c r="AK48" s="58">
        <f t="shared" si="15"/>
        <v>91.713656609922054</v>
      </c>
      <c r="AL48" s="61">
        <f t="shared" si="16"/>
        <v>0</v>
      </c>
      <c r="AM48" s="59">
        <f t="shared" si="17"/>
        <v>91.713656609922054</v>
      </c>
      <c r="AN48" s="61">
        <f t="shared" si="16"/>
        <v>0</v>
      </c>
      <c r="AO48" s="59">
        <f t="shared" si="35"/>
        <v>0</v>
      </c>
      <c r="AP48" s="59">
        <f t="shared" si="36"/>
        <v>0</v>
      </c>
      <c r="AQ48" s="60">
        <f t="shared" si="37"/>
        <v>0</v>
      </c>
      <c r="AR48" s="58">
        <f t="shared" si="38"/>
        <v>84.587568399642976</v>
      </c>
      <c r="AS48" s="61">
        <f t="shared" si="18"/>
        <v>0</v>
      </c>
      <c r="AT48" s="59">
        <f t="shared" si="39"/>
        <v>84.587568399642976</v>
      </c>
      <c r="AU48" s="61">
        <f t="shared" si="19"/>
        <v>0</v>
      </c>
      <c r="AV48" s="59">
        <f t="shared" si="40"/>
        <v>0</v>
      </c>
      <c r="AW48" s="59">
        <f t="shared" si="41"/>
        <v>0</v>
      </c>
      <c r="AX48" s="60">
        <f t="shared" si="42"/>
        <v>0</v>
      </c>
      <c r="AY48" s="58">
        <f t="shared" si="43"/>
        <v>109.37520680738433</v>
      </c>
      <c r="AZ48" s="61">
        <f t="shared" si="20"/>
        <v>0</v>
      </c>
      <c r="BA48" s="59">
        <f t="shared" si="44"/>
        <v>109.37520680738433</v>
      </c>
      <c r="BB48" s="61">
        <f t="shared" si="21"/>
        <v>0</v>
      </c>
      <c r="BC48" s="59">
        <f t="shared" si="51"/>
        <v>0</v>
      </c>
      <c r="BD48" s="59">
        <f t="shared" si="52"/>
        <v>0</v>
      </c>
      <c r="BE48" s="60">
        <f t="shared" si="53"/>
        <v>0</v>
      </c>
    </row>
    <row r="49" spans="1:57" x14ac:dyDescent="0.25">
      <c r="A49" s="252" t="s">
        <v>39</v>
      </c>
      <c r="B49" s="253">
        <f>cw*csed</f>
        <v>1796.6702824025331</v>
      </c>
      <c r="C49" s="253" t="s">
        <v>1</v>
      </c>
      <c r="D49" s="254"/>
      <c r="F49" s="55">
        <f t="shared" si="22"/>
        <v>4.7771212547196624</v>
      </c>
      <c r="G49" s="56">
        <f t="shared" si="48"/>
        <v>59857.869449066449</v>
      </c>
      <c r="H49" s="57">
        <f t="shared" si="0"/>
        <v>59854.869449066449</v>
      </c>
      <c r="I49" s="56">
        <f t="shared" si="1"/>
        <v>77.476656654317139</v>
      </c>
      <c r="J49" s="57">
        <f t="shared" si="2"/>
        <v>94.466356697677327</v>
      </c>
      <c r="K49" s="56">
        <f t="shared" si="3"/>
        <v>80.249464641834891</v>
      </c>
      <c r="L49" s="57">
        <f t="shared" si="4"/>
        <v>74.098155152464699</v>
      </c>
      <c r="M49" s="58">
        <f t="shared" si="49"/>
        <v>0</v>
      </c>
      <c r="N49" s="59">
        <f t="shared" si="49"/>
        <v>0</v>
      </c>
      <c r="O49" s="59">
        <f t="shared" si="6"/>
        <v>0</v>
      </c>
      <c r="P49" s="59">
        <f t="shared" si="7"/>
        <v>0</v>
      </c>
      <c r="Q49" s="59">
        <f t="shared" si="8"/>
        <v>0</v>
      </c>
      <c r="R49" s="59">
        <f t="shared" si="9"/>
        <v>0</v>
      </c>
      <c r="S49" s="59">
        <f t="shared" si="23"/>
        <v>0</v>
      </c>
      <c r="T49" s="59">
        <f t="shared" si="24"/>
        <v>0</v>
      </c>
      <c r="U49" s="59">
        <f t="shared" si="25"/>
        <v>0</v>
      </c>
      <c r="V49" s="59">
        <f t="shared" si="50"/>
        <v>0</v>
      </c>
      <c r="W49" s="59">
        <f t="shared" si="50"/>
        <v>0</v>
      </c>
      <c r="X49" s="59">
        <f t="shared" si="26"/>
        <v>0</v>
      </c>
      <c r="Y49" s="60">
        <f t="shared" si="27"/>
        <v>0</v>
      </c>
      <c r="Z49" s="58">
        <f t="shared" si="28"/>
        <v>0</v>
      </c>
      <c r="AA49" s="59">
        <f t="shared" si="29"/>
        <v>0</v>
      </c>
      <c r="AB49" s="59">
        <f t="shared" si="30"/>
        <v>0</v>
      </c>
      <c r="AC49" s="60">
        <f t="shared" si="31"/>
        <v>0</v>
      </c>
      <c r="AD49" s="58">
        <f t="shared" si="11"/>
        <v>94.457429708834567</v>
      </c>
      <c r="AE49" s="61">
        <f t="shared" si="12"/>
        <v>0</v>
      </c>
      <c r="AF49" s="59">
        <f t="shared" si="13"/>
        <v>94.457429708834567</v>
      </c>
      <c r="AG49" s="61">
        <f t="shared" si="14"/>
        <v>0</v>
      </c>
      <c r="AH49" s="62">
        <f t="shared" si="32"/>
        <v>0</v>
      </c>
      <c r="AI49" s="59">
        <f t="shared" si="33"/>
        <v>0</v>
      </c>
      <c r="AJ49" s="60">
        <f t="shared" si="34"/>
        <v>0</v>
      </c>
      <c r="AK49" s="58">
        <f t="shared" si="15"/>
        <v>74.723041425068175</v>
      </c>
      <c r="AL49" s="61">
        <f t="shared" si="16"/>
        <v>0</v>
      </c>
      <c r="AM49" s="59">
        <f t="shared" si="17"/>
        <v>74.723041425068175</v>
      </c>
      <c r="AN49" s="61">
        <f t="shared" si="16"/>
        <v>0</v>
      </c>
      <c r="AO49" s="59">
        <f t="shared" si="35"/>
        <v>0</v>
      </c>
      <c r="AP49" s="59">
        <f t="shared" si="36"/>
        <v>0</v>
      </c>
      <c r="AQ49" s="60">
        <f t="shared" si="37"/>
        <v>0</v>
      </c>
      <c r="AR49" s="58">
        <f t="shared" si="38"/>
        <v>67.596953214789096</v>
      </c>
      <c r="AS49" s="61">
        <f t="shared" si="18"/>
        <v>0</v>
      </c>
      <c r="AT49" s="59">
        <f t="shared" si="39"/>
        <v>67.596953214789096</v>
      </c>
      <c r="AU49" s="61">
        <f t="shared" si="19"/>
        <v>0</v>
      </c>
      <c r="AV49" s="59">
        <f t="shared" si="40"/>
        <v>0</v>
      </c>
      <c r="AW49" s="59">
        <f t="shared" si="41"/>
        <v>0</v>
      </c>
      <c r="AX49" s="60">
        <f t="shared" si="42"/>
        <v>0</v>
      </c>
      <c r="AY49" s="58">
        <f t="shared" si="43"/>
        <v>92.384591622530451</v>
      </c>
      <c r="AZ49" s="61">
        <f t="shared" si="20"/>
        <v>0</v>
      </c>
      <c r="BA49" s="59">
        <f t="shared" si="44"/>
        <v>92.384591622530451</v>
      </c>
      <c r="BB49" s="61">
        <f t="shared" si="21"/>
        <v>0</v>
      </c>
      <c r="BC49" s="59">
        <f t="shared" si="51"/>
        <v>0</v>
      </c>
      <c r="BD49" s="59">
        <f t="shared" si="52"/>
        <v>0</v>
      </c>
      <c r="BE49" s="60">
        <f t="shared" si="53"/>
        <v>0</v>
      </c>
    </row>
    <row r="50" spans="1:57" x14ac:dyDescent="0.25">
      <c r="A50" s="255" t="s">
        <v>41</v>
      </c>
      <c r="B50" s="247">
        <f>betased*c_sed/1000</f>
        <v>0.50001333959262495</v>
      </c>
      <c r="C50" s="247" t="s">
        <v>60</v>
      </c>
      <c r="D50" s="256"/>
      <c r="F50" s="55">
        <f t="shared" si="22"/>
        <v>4.8771212547196621</v>
      </c>
      <c r="G50" s="56">
        <f t="shared" si="48"/>
        <v>75356.592945287412</v>
      </c>
      <c r="H50" s="57">
        <f t="shared" si="0"/>
        <v>75353.592945287412</v>
      </c>
      <c r="I50" s="56">
        <f t="shared" si="1"/>
        <v>56.345664847882929</v>
      </c>
      <c r="J50" s="57">
        <f t="shared" si="2"/>
        <v>73.335364891243117</v>
      </c>
      <c r="K50" s="56">
        <f t="shared" si="3"/>
        <v>54.871143482307403</v>
      </c>
      <c r="L50" s="57">
        <f t="shared" si="4"/>
        <v>49.797514575065364</v>
      </c>
      <c r="M50" s="58">
        <f t="shared" si="49"/>
        <v>0</v>
      </c>
      <c r="N50" s="59">
        <f t="shared" si="49"/>
        <v>0</v>
      </c>
      <c r="O50" s="59">
        <f t="shared" si="6"/>
        <v>0</v>
      </c>
      <c r="P50" s="59">
        <f t="shared" si="7"/>
        <v>0</v>
      </c>
      <c r="Q50" s="59">
        <f t="shared" si="8"/>
        <v>0</v>
      </c>
      <c r="R50" s="59">
        <f t="shared" si="9"/>
        <v>0</v>
      </c>
      <c r="S50" s="59">
        <f t="shared" si="23"/>
        <v>0</v>
      </c>
      <c r="T50" s="59">
        <f t="shared" si="24"/>
        <v>0</v>
      </c>
      <c r="U50" s="59">
        <f t="shared" si="25"/>
        <v>0</v>
      </c>
      <c r="V50" s="59">
        <f t="shared" si="50"/>
        <v>0</v>
      </c>
      <c r="W50" s="59">
        <f t="shared" si="50"/>
        <v>0</v>
      </c>
      <c r="X50" s="59">
        <f t="shared" si="26"/>
        <v>0</v>
      </c>
      <c r="Y50" s="60">
        <f t="shared" si="27"/>
        <v>0</v>
      </c>
      <c r="Z50" s="58">
        <f t="shared" si="28"/>
        <v>0</v>
      </c>
      <c r="AA50" s="59">
        <f t="shared" si="29"/>
        <v>0</v>
      </c>
      <c r="AB50" s="59">
        <f t="shared" si="30"/>
        <v>0</v>
      </c>
      <c r="AC50" s="60">
        <f t="shared" si="31"/>
        <v>0</v>
      </c>
      <c r="AD50" s="58">
        <f t="shared" si="11"/>
        <v>73.326437902400357</v>
      </c>
      <c r="AE50" s="61">
        <f t="shared" si="12"/>
        <v>0</v>
      </c>
      <c r="AF50" s="59">
        <f t="shared" si="13"/>
        <v>73.326437902400357</v>
      </c>
      <c r="AG50" s="61">
        <f t="shared" si="14"/>
        <v>0</v>
      </c>
      <c r="AH50" s="62">
        <f t="shared" si="32"/>
        <v>0</v>
      </c>
      <c r="AI50" s="59">
        <f t="shared" si="33"/>
        <v>0</v>
      </c>
      <c r="AJ50" s="60">
        <f t="shared" si="34"/>
        <v>0</v>
      </c>
      <c r="AK50" s="58">
        <f t="shared" si="15"/>
        <v>53.592049618633972</v>
      </c>
      <c r="AL50" s="61">
        <f t="shared" si="16"/>
        <v>0</v>
      </c>
      <c r="AM50" s="59">
        <f t="shared" si="17"/>
        <v>53.592049618633972</v>
      </c>
      <c r="AN50" s="61">
        <f t="shared" si="16"/>
        <v>0</v>
      </c>
      <c r="AO50" s="59">
        <f t="shared" si="35"/>
        <v>0</v>
      </c>
      <c r="AP50" s="59">
        <f t="shared" si="36"/>
        <v>0</v>
      </c>
      <c r="AQ50" s="60">
        <f t="shared" si="37"/>
        <v>0</v>
      </c>
      <c r="AR50" s="58">
        <f t="shared" si="38"/>
        <v>46.465961408354886</v>
      </c>
      <c r="AS50" s="61">
        <f t="shared" si="18"/>
        <v>0</v>
      </c>
      <c r="AT50" s="59">
        <f t="shared" si="39"/>
        <v>46.465961408354886</v>
      </c>
      <c r="AU50" s="61">
        <f t="shared" si="19"/>
        <v>0</v>
      </c>
      <c r="AV50" s="59">
        <f t="shared" si="40"/>
        <v>0</v>
      </c>
      <c r="AW50" s="59">
        <f t="shared" si="41"/>
        <v>0</v>
      </c>
      <c r="AX50" s="60">
        <f t="shared" si="42"/>
        <v>0</v>
      </c>
      <c r="AY50" s="58">
        <f t="shared" si="43"/>
        <v>71.253599816096241</v>
      </c>
      <c r="AZ50" s="61">
        <f t="shared" si="20"/>
        <v>0</v>
      </c>
      <c r="BA50" s="59">
        <f t="shared" si="44"/>
        <v>71.253599816096241</v>
      </c>
      <c r="BB50" s="61">
        <f t="shared" si="21"/>
        <v>0</v>
      </c>
      <c r="BC50" s="59">
        <f t="shared" si="51"/>
        <v>0</v>
      </c>
      <c r="BD50" s="59">
        <f t="shared" si="52"/>
        <v>0</v>
      </c>
      <c r="BE50" s="60">
        <f t="shared" si="53"/>
        <v>0</v>
      </c>
    </row>
    <row r="51" spans="1:57" ht="15.75" thickBot="1" x14ac:dyDescent="0.3">
      <c r="A51" s="252" t="s">
        <v>43</v>
      </c>
      <c r="B51" s="253">
        <f>ln_10*gamma/(40*pi)</f>
        <v>9.1619394125505831E-3</v>
      </c>
      <c r="C51" s="253"/>
      <c r="D51" s="254"/>
      <c r="F51" s="64">
        <f t="shared" si="22"/>
        <v>4.9771212547196617</v>
      </c>
      <c r="G51" s="65">
        <f t="shared" si="48"/>
        <v>94868.329805051297</v>
      </c>
      <c r="H51" s="66">
        <f t="shared" si="0"/>
        <v>94865.329805051297</v>
      </c>
      <c r="I51" s="65">
        <f t="shared" si="1"/>
        <v>30.002247698142781</v>
      </c>
      <c r="J51" s="66">
        <f t="shared" si="2"/>
        <v>46.991947741502969</v>
      </c>
      <c r="K51" s="65">
        <f t="shared" si="3"/>
        <v>23.232699485469485</v>
      </c>
      <c r="L51" s="66">
        <f t="shared" si="4"/>
        <v>19.502584852864196</v>
      </c>
      <c r="M51" s="67">
        <f t="shared" si="49"/>
        <v>0</v>
      </c>
      <c r="N51" s="68">
        <f t="shared" si="49"/>
        <v>0</v>
      </c>
      <c r="O51" s="68">
        <f t="shared" si="6"/>
        <v>0</v>
      </c>
      <c r="P51" s="68">
        <f t="shared" si="7"/>
        <v>0</v>
      </c>
      <c r="Q51" s="68">
        <f t="shared" si="8"/>
        <v>0</v>
      </c>
      <c r="R51" s="68">
        <f t="shared" si="9"/>
        <v>0</v>
      </c>
      <c r="S51" s="68">
        <f t="shared" si="23"/>
        <v>0</v>
      </c>
      <c r="T51" s="68">
        <f t="shared" si="24"/>
        <v>0</v>
      </c>
      <c r="U51" s="68">
        <f t="shared" si="25"/>
        <v>0</v>
      </c>
      <c r="V51" s="68">
        <f t="shared" si="50"/>
        <v>0</v>
      </c>
      <c r="W51" s="68">
        <f t="shared" si="50"/>
        <v>0</v>
      </c>
      <c r="X51" s="68">
        <f t="shared" si="26"/>
        <v>0</v>
      </c>
      <c r="Y51" s="69">
        <f t="shared" si="27"/>
        <v>0</v>
      </c>
      <c r="Z51" s="67">
        <f t="shared" si="28"/>
        <v>0</v>
      </c>
      <c r="AA51" s="68">
        <f t="shared" si="29"/>
        <v>0</v>
      </c>
      <c r="AB51" s="68">
        <f t="shared" si="30"/>
        <v>0</v>
      </c>
      <c r="AC51" s="69">
        <f t="shared" si="31"/>
        <v>0</v>
      </c>
      <c r="AD51" s="67">
        <f t="shared" si="11"/>
        <v>46.983020752660209</v>
      </c>
      <c r="AE51" s="70">
        <f t="shared" si="12"/>
        <v>0</v>
      </c>
      <c r="AF51" s="68">
        <f t="shared" si="13"/>
        <v>46.983020752660209</v>
      </c>
      <c r="AG51" s="70">
        <f t="shared" si="14"/>
        <v>0</v>
      </c>
      <c r="AH51" s="71">
        <f t="shared" si="32"/>
        <v>0</v>
      </c>
      <c r="AI51" s="68">
        <f t="shared" si="33"/>
        <v>0</v>
      </c>
      <c r="AJ51" s="69">
        <f t="shared" si="34"/>
        <v>0</v>
      </c>
      <c r="AK51" s="67">
        <f t="shared" si="15"/>
        <v>27.248632468893824</v>
      </c>
      <c r="AL51" s="70">
        <f t="shared" si="16"/>
        <v>0</v>
      </c>
      <c r="AM51" s="68">
        <f t="shared" si="17"/>
        <v>27.248632468893824</v>
      </c>
      <c r="AN51" s="70">
        <f t="shared" si="16"/>
        <v>0</v>
      </c>
      <c r="AO51" s="68">
        <f t="shared" si="35"/>
        <v>0</v>
      </c>
      <c r="AP51" s="68">
        <f t="shared" si="36"/>
        <v>0</v>
      </c>
      <c r="AQ51" s="69">
        <f t="shared" si="37"/>
        <v>0</v>
      </c>
      <c r="AR51" s="67">
        <f t="shared" si="38"/>
        <v>20.122544258614738</v>
      </c>
      <c r="AS51" s="70">
        <f t="shared" si="18"/>
        <v>0</v>
      </c>
      <c r="AT51" s="68">
        <f t="shared" si="39"/>
        <v>20.122544258614738</v>
      </c>
      <c r="AU51" s="70">
        <f t="shared" si="19"/>
        <v>0</v>
      </c>
      <c r="AV51" s="68">
        <f t="shared" si="40"/>
        <v>0</v>
      </c>
      <c r="AW51" s="68">
        <f t="shared" si="41"/>
        <v>0</v>
      </c>
      <c r="AX51" s="69">
        <f t="shared" si="42"/>
        <v>0</v>
      </c>
      <c r="AY51" s="67">
        <f t="shared" si="43"/>
        <v>44.910182666356093</v>
      </c>
      <c r="AZ51" s="70">
        <f t="shared" si="20"/>
        <v>0</v>
      </c>
      <c r="BA51" s="68">
        <f t="shared" si="44"/>
        <v>44.910182666356093</v>
      </c>
      <c r="BB51" s="70">
        <f t="shared" si="21"/>
        <v>0</v>
      </c>
      <c r="BC51" s="68">
        <f t="shared" si="51"/>
        <v>0</v>
      </c>
      <c r="BD51" s="68">
        <f t="shared" si="52"/>
        <v>0</v>
      </c>
      <c r="BE51" s="69">
        <f t="shared" si="53"/>
        <v>0</v>
      </c>
    </row>
    <row r="52" spans="1:57" x14ac:dyDescent="0.25">
      <c r="A52" s="255" t="s">
        <v>45</v>
      </c>
      <c r="B52" s="247">
        <f>2*wsed*epsilon*costhetac^2/sinthetac^3</f>
        <v>0.15903137810220405</v>
      </c>
      <c r="C52" s="247" t="s">
        <v>55</v>
      </c>
      <c r="D52" s="256"/>
      <c r="F52" s="72"/>
      <c r="G52" s="73"/>
      <c r="H52" s="72"/>
      <c r="I52" s="72"/>
      <c r="J52" s="72"/>
      <c r="K52" s="72"/>
      <c r="L52" s="72"/>
      <c r="M52" s="74">
        <f>SUM(M6:M51)</f>
        <v>0</v>
      </c>
      <c r="N52" s="74">
        <f t="shared" ref="N52:Y52" si="54">SUM(N6:N51)</f>
        <v>49.398642236295068</v>
      </c>
      <c r="O52" s="74">
        <f t="shared" si="54"/>
        <v>49.398642236295068</v>
      </c>
      <c r="P52" s="74">
        <f t="shared" si="54"/>
        <v>1571.2114062533092</v>
      </c>
      <c r="Q52" s="74">
        <f t="shared" si="54"/>
        <v>1571.2114062533092</v>
      </c>
      <c r="R52" s="74">
        <f t="shared" si="54"/>
        <v>1571.2114062533092</v>
      </c>
      <c r="S52" s="74">
        <f t="shared" si="54"/>
        <v>31.352901422562354</v>
      </c>
      <c r="T52" s="74">
        <f t="shared" si="54"/>
        <v>96.951365755791258</v>
      </c>
      <c r="U52" s="74">
        <f t="shared" si="54"/>
        <v>96.951365755791258</v>
      </c>
      <c r="V52" s="74">
        <f t="shared" si="54"/>
        <v>2423.8711361998121</v>
      </c>
      <c r="W52" s="74">
        <f t="shared" si="54"/>
        <v>1340.661616166869</v>
      </c>
      <c r="X52" s="74">
        <f t="shared" si="54"/>
        <v>116.77179280627522</v>
      </c>
      <c r="Y52" s="74">
        <f t="shared" si="54"/>
        <v>13936.622229050105</v>
      </c>
      <c r="Z52" s="74">
        <f>SUM(Z6:Z51)</f>
        <v>9.9820853112952044</v>
      </c>
      <c r="AA52" s="74">
        <f>SUM(AA6:AA51)</f>
        <v>96.951365755791258</v>
      </c>
      <c r="AB52" s="74">
        <f>SUM(AB6:AB51)</f>
        <v>1438.8571974088964</v>
      </c>
      <c r="AC52" s="74">
        <f>SUM(AC6:AC51)</f>
        <v>6016.0102629852818</v>
      </c>
      <c r="AD52" s="75"/>
      <c r="AE52" s="76">
        <f t="shared" ref="AE52:BE52" si="55">SUM(AE6:AE51)</f>
        <v>2420.8135147267976</v>
      </c>
      <c r="AF52" s="76"/>
      <c r="AG52" s="76">
        <f t="shared" si="55"/>
        <v>9422.4590367906767</v>
      </c>
      <c r="AH52" s="76">
        <f t="shared" si="55"/>
        <v>9.9930340433518197</v>
      </c>
      <c r="AI52" s="76">
        <f t="shared" si="55"/>
        <v>31.352901422562354</v>
      </c>
      <c r="AJ52" s="77">
        <f t="shared" si="55"/>
        <v>8785.001396397085</v>
      </c>
      <c r="AK52" s="75"/>
      <c r="AL52" s="76">
        <f t="shared" si="55"/>
        <v>33.324480671468955</v>
      </c>
      <c r="AM52" s="76"/>
      <c r="AN52" s="76">
        <f t="shared" si="55"/>
        <v>830.22791524956938</v>
      </c>
      <c r="AO52" s="76">
        <f t="shared" si="55"/>
        <v>0</v>
      </c>
      <c r="AP52" s="76">
        <f t="shared" si="55"/>
        <v>3.8265398442332086</v>
      </c>
      <c r="AQ52" s="77">
        <f t="shared" si="55"/>
        <v>8785.001396397085</v>
      </c>
      <c r="AR52" s="75"/>
      <c r="AS52" s="76">
        <f t="shared" si="55"/>
        <v>2811.1166283720754</v>
      </c>
      <c r="AT52" s="76"/>
      <c r="AU52" s="76">
        <f t="shared" si="55"/>
        <v>10086.438467051963</v>
      </c>
      <c r="AV52" s="76">
        <f t="shared" si="55"/>
        <v>241.97752521682241</v>
      </c>
      <c r="AW52" s="76">
        <f t="shared" si="55"/>
        <v>674.99195538345191</v>
      </c>
      <c r="AX52" s="77">
        <f t="shared" si="55"/>
        <v>8785.001396397085</v>
      </c>
      <c r="AY52" s="75"/>
      <c r="AZ52" s="76">
        <f t="shared" si="55"/>
        <v>1322.6223360317454</v>
      </c>
      <c r="BA52" s="76"/>
      <c r="BB52" s="76">
        <f t="shared" si="55"/>
        <v>7198.6887038365167</v>
      </c>
      <c r="BC52" s="76">
        <f t="shared" si="55"/>
        <v>12.054657626609085</v>
      </c>
      <c r="BD52" s="76">
        <f t="shared" si="55"/>
        <v>37.756043096898011</v>
      </c>
      <c r="BE52" s="77">
        <f t="shared" si="55"/>
        <v>8785.001396397085</v>
      </c>
    </row>
    <row r="53" spans="1:57" x14ac:dyDescent="0.25">
      <c r="A53" s="252" t="s">
        <v>47</v>
      </c>
      <c r="B53" s="253">
        <f>sintheta^2/sinthetac^2</f>
        <v>0.28213560102660756</v>
      </c>
      <c r="C53" s="253"/>
      <c r="D53" s="254"/>
      <c r="F53" s="72"/>
      <c r="G53" s="73"/>
      <c r="H53" s="72"/>
      <c r="I53" s="72"/>
      <c r="J53" s="72"/>
      <c r="K53" s="72"/>
      <c r="L53" s="72"/>
      <c r="M53" s="72"/>
      <c r="N53" s="73"/>
      <c r="O53" s="73"/>
      <c r="P53" s="73"/>
      <c r="Q53" s="73"/>
      <c r="R53" s="73"/>
      <c r="S53" s="73"/>
      <c r="T53" s="73"/>
      <c r="U53" s="73"/>
      <c r="V53" s="73"/>
      <c r="W53" s="72"/>
      <c r="X53" s="72"/>
      <c r="Y53" s="72"/>
      <c r="Z53" s="72"/>
      <c r="AA53" s="72"/>
      <c r="AB53" s="72"/>
      <c r="AC53" s="72"/>
      <c r="AD53" s="78"/>
      <c r="AE53" s="79"/>
      <c r="AF53" s="79"/>
      <c r="AG53" s="79"/>
      <c r="AH53" s="79"/>
      <c r="AI53" s="79"/>
      <c r="AJ53" s="80"/>
      <c r="AK53" s="78"/>
      <c r="AL53" s="79"/>
      <c r="AM53" s="79"/>
      <c r="AN53" s="79"/>
      <c r="AO53" s="79"/>
      <c r="AP53" s="79"/>
      <c r="AQ53" s="80"/>
      <c r="AR53" s="78"/>
      <c r="AS53" s="79"/>
      <c r="AT53" s="79"/>
      <c r="AU53" s="79"/>
      <c r="AV53" s="79"/>
      <c r="AW53" s="79"/>
      <c r="AX53" s="80"/>
      <c r="AY53" s="78"/>
      <c r="AZ53" s="79"/>
      <c r="BA53" s="79"/>
      <c r="BB53" s="79"/>
      <c r="BC53" s="79"/>
      <c r="BD53" s="79"/>
      <c r="BE53" s="80"/>
    </row>
    <row r="54" spans="1:57" x14ac:dyDescent="0.25">
      <c r="A54" s="255" t="s">
        <v>46</v>
      </c>
      <c r="B54" s="247">
        <f>ABS(EXP(-eta*sintheta/(SQRT(1-S_2)*(1+(wsed^2-1)*S_2))))</f>
        <v>0.97202962951469052</v>
      </c>
      <c r="C54" s="247"/>
      <c r="D54" s="256"/>
      <c r="F54" s="72"/>
      <c r="G54" s="73"/>
      <c r="H54" s="72"/>
      <c r="I54" s="72"/>
      <c r="J54" s="72"/>
      <c r="K54" s="72"/>
      <c r="L54" s="72"/>
      <c r="M54" s="72"/>
      <c r="N54" s="73"/>
      <c r="O54" s="73"/>
      <c r="P54" s="73"/>
      <c r="Q54" s="73"/>
      <c r="R54" s="73"/>
      <c r="S54" s="73"/>
      <c r="T54" s="73"/>
      <c r="U54" s="73"/>
      <c r="V54" s="73"/>
      <c r="W54" s="72"/>
      <c r="X54" s="72"/>
      <c r="Y54" s="72"/>
      <c r="Z54" s="72"/>
      <c r="AA54" s="72"/>
      <c r="AB54" s="72"/>
      <c r="AC54" s="72"/>
      <c r="AD54" s="78"/>
      <c r="AE54" s="79">
        <v>183</v>
      </c>
      <c r="AF54" s="79"/>
      <c r="AG54" s="79">
        <v>168</v>
      </c>
      <c r="AH54" s="79"/>
      <c r="AI54" s="79"/>
      <c r="AJ54" s="80"/>
      <c r="AK54" s="78"/>
      <c r="AL54" s="79">
        <v>185</v>
      </c>
      <c r="AM54" s="79"/>
      <c r="AN54" s="79">
        <v>170</v>
      </c>
      <c r="AO54" s="79"/>
      <c r="AP54" s="79"/>
      <c r="AQ54" s="80"/>
      <c r="AR54" s="78"/>
      <c r="AS54" s="79">
        <v>155</v>
      </c>
      <c r="AT54" s="79"/>
      <c r="AU54" s="79">
        <v>140</v>
      </c>
      <c r="AV54" s="79"/>
      <c r="AW54" s="79"/>
      <c r="AX54" s="80"/>
      <c r="AY54" s="78"/>
      <c r="AZ54" s="79">
        <v>185</v>
      </c>
      <c r="BA54" s="79"/>
      <c r="BB54" s="79">
        <v>170</v>
      </c>
      <c r="BC54" s="79"/>
      <c r="BD54" s="79"/>
      <c r="BE54" s="80"/>
    </row>
    <row r="55" spans="1:57" x14ac:dyDescent="0.25">
      <c r="A55" s="255" t="s">
        <v>48</v>
      </c>
      <c r="B55" s="247">
        <f>-10*LOG(Rchh^2)</f>
        <v>0.24640993319037938</v>
      </c>
      <c r="C55" s="247" t="s">
        <v>10</v>
      </c>
      <c r="D55" s="256"/>
      <c r="F55" s="72"/>
      <c r="G55" s="73"/>
      <c r="H55" s="72"/>
      <c r="I55" s="72"/>
      <c r="J55" s="72"/>
      <c r="K55" s="72"/>
      <c r="L55" s="72"/>
      <c r="M55" s="72"/>
      <c r="N55" s="72"/>
      <c r="O55" s="72"/>
      <c r="P55" s="72"/>
      <c r="Q55" s="72"/>
      <c r="R55" s="72"/>
      <c r="S55" s="72"/>
      <c r="T55" s="72"/>
      <c r="U55" s="72"/>
      <c r="V55" s="72"/>
      <c r="W55" s="72"/>
      <c r="X55" s="72"/>
      <c r="Y55" s="72"/>
      <c r="Z55" s="72"/>
      <c r="AA55" s="72"/>
      <c r="AB55" s="72"/>
      <c r="AC55" s="72"/>
      <c r="AD55" s="81" t="s">
        <v>161</v>
      </c>
      <c r="AE55" s="57">
        <f>AE63+10*LOG10((FKHZ/AE61)^(2*AE59)/((1+(FKHZ/AE61)^2)^AE59*(1+(FKHZ/AE62)^2)^AE60))</f>
        <v>-8.9269888427603861E-3</v>
      </c>
      <c r="AF55" s="57"/>
      <c r="AG55" s="57">
        <f>AE55</f>
        <v>-8.9269888427603861E-3</v>
      </c>
      <c r="AH55" s="57"/>
      <c r="AI55" s="57"/>
      <c r="AJ55" s="82"/>
      <c r="AK55" s="81" t="s">
        <v>161</v>
      </c>
      <c r="AL55" s="57">
        <f>AL63+10*LOG10((FKHZ/AL61)^(2*AL59)/((1+(FKHZ/AL61)^2)^AL59*(1+(FKHZ/AL62)^2)^AL60))</f>
        <v>-19.743315272609145</v>
      </c>
      <c r="AM55" s="57"/>
      <c r="AN55" s="57">
        <f>AL55</f>
        <v>-19.743315272609145</v>
      </c>
      <c r="AO55" s="57"/>
      <c r="AP55" s="57"/>
      <c r="AQ55" s="82"/>
      <c r="AR55" s="81" t="s">
        <v>161</v>
      </c>
      <c r="AS55" s="57">
        <f>AS63+10*LOG10((FKHZ/AS61)^(2*AS59)/((1+(FKHZ/AS61)^2)^AS59*(1+(FKHZ/AS62)^2)^AS60))</f>
        <v>-26.869403482888231</v>
      </c>
      <c r="AT55" s="57"/>
      <c r="AU55" s="57">
        <f>AS55</f>
        <v>-26.869403482888231</v>
      </c>
      <c r="AV55" s="57"/>
      <c r="AW55" s="57"/>
      <c r="AX55" s="82"/>
      <c r="AY55" s="81" t="s">
        <v>161</v>
      </c>
      <c r="AZ55" s="57">
        <f>AZ63+10*LOG10((FKHZ/AZ61)^(2*AZ59)/((1+(FKHZ/AZ61)^2)^AZ59*(1+(FKHZ/AZ62)^2)^AZ60))</f>
        <v>-2.0817650751468735</v>
      </c>
      <c r="BA55" s="57"/>
      <c r="BB55" s="83">
        <f>AZ55</f>
        <v>-2.0817650751468735</v>
      </c>
      <c r="BC55" s="79"/>
      <c r="BD55" s="79"/>
      <c r="BE55" s="80"/>
    </row>
    <row r="56" spans="1:57" ht="15.75" thickBot="1" x14ac:dyDescent="0.3">
      <c r="A56" s="262" t="s">
        <v>49</v>
      </c>
      <c r="B56" s="263">
        <f>Lchh/R_c</f>
        <v>1.2988806343530632E-3</v>
      </c>
      <c r="C56" s="264" t="s">
        <v>54</v>
      </c>
      <c r="D56" s="265" t="s">
        <v>56</v>
      </c>
      <c r="F56" s="72"/>
      <c r="G56" s="73"/>
      <c r="H56" s="72"/>
      <c r="I56" s="72"/>
      <c r="J56" s="72"/>
      <c r="K56" s="72"/>
      <c r="L56" s="72"/>
      <c r="M56" s="72"/>
      <c r="N56" s="72"/>
      <c r="O56" s="72"/>
      <c r="P56" s="72"/>
      <c r="Q56" s="72"/>
      <c r="R56" s="72"/>
      <c r="S56" s="72"/>
      <c r="T56" s="72"/>
      <c r="U56" s="72"/>
      <c r="V56" s="72"/>
      <c r="W56" s="72"/>
      <c r="X56" s="72"/>
      <c r="Y56" s="72"/>
      <c r="Z56" s="72"/>
      <c r="AA56" s="72"/>
      <c r="AB56" s="72"/>
      <c r="AC56" s="72"/>
      <c r="AD56" s="78"/>
      <c r="AE56" s="83">
        <f>AE54-AE55</f>
        <v>183.00892698884277</v>
      </c>
      <c r="AF56" s="83"/>
      <c r="AG56" s="83">
        <f>AG54-AG55</f>
        <v>168.00892698884277</v>
      </c>
      <c r="AH56" s="83"/>
      <c r="AI56" s="83"/>
      <c r="AJ56" s="84"/>
      <c r="AK56" s="85"/>
      <c r="AL56" s="83">
        <f>AL54-AL55</f>
        <v>204.74331527260915</v>
      </c>
      <c r="AM56" s="83"/>
      <c r="AN56" s="83">
        <f>AN54-AN55</f>
        <v>189.74331527260915</v>
      </c>
      <c r="AO56" s="83"/>
      <c r="AP56" s="83"/>
      <c r="AQ56" s="84"/>
      <c r="AR56" s="85"/>
      <c r="AS56" s="83">
        <f>AS54-AS55</f>
        <v>181.86940348288823</v>
      </c>
      <c r="AT56" s="83"/>
      <c r="AU56" s="83">
        <f>AU54-AU55</f>
        <v>166.86940348288823</v>
      </c>
      <c r="AV56" s="83"/>
      <c r="AW56" s="83"/>
      <c r="AX56" s="84"/>
      <c r="AY56" s="85"/>
      <c r="AZ56" s="83">
        <f>AZ54-AZ55</f>
        <v>187.08176507514688</v>
      </c>
      <c r="BA56" s="83"/>
      <c r="BB56" s="83">
        <f>BB54-BB55</f>
        <v>172.08176507514688</v>
      </c>
      <c r="BC56" s="79"/>
      <c r="BD56" s="79"/>
      <c r="BE56" s="80"/>
    </row>
    <row r="57" spans="1:57" x14ac:dyDescent="0.25">
      <c r="F57" s="72"/>
      <c r="G57" s="73"/>
      <c r="H57" s="72"/>
      <c r="I57" s="72"/>
      <c r="J57" s="72"/>
      <c r="K57" s="72"/>
      <c r="L57" s="72"/>
      <c r="M57" s="72"/>
      <c r="N57" s="72"/>
      <c r="O57" s="72"/>
      <c r="P57" s="72"/>
      <c r="Q57" s="72"/>
      <c r="R57" s="72"/>
      <c r="S57" s="72"/>
      <c r="T57" s="72"/>
      <c r="U57" s="72"/>
      <c r="V57" s="72"/>
      <c r="W57" s="72"/>
      <c r="X57" s="72"/>
      <c r="Y57" s="72"/>
      <c r="Z57" s="72"/>
      <c r="AA57" s="72"/>
      <c r="AB57" s="72"/>
      <c r="AC57" s="72"/>
      <c r="AD57" s="78"/>
      <c r="AE57" s="79"/>
      <c r="AF57" s="79"/>
      <c r="AG57" s="79"/>
      <c r="AH57" s="79"/>
      <c r="AI57" s="79"/>
      <c r="AJ57" s="80"/>
      <c r="AK57" s="78"/>
      <c r="AL57" s="79"/>
      <c r="AM57" s="79"/>
      <c r="AN57" s="79"/>
      <c r="AO57" s="79"/>
      <c r="AP57" s="79"/>
      <c r="AQ57" s="80"/>
      <c r="AR57" s="78"/>
      <c r="AS57" s="79"/>
      <c r="AT57" s="79"/>
      <c r="AU57" s="79"/>
      <c r="AV57" s="79"/>
      <c r="AW57" s="79"/>
      <c r="AX57" s="80"/>
      <c r="AY57" s="78"/>
      <c r="AZ57" s="79"/>
      <c r="BA57" s="79"/>
      <c r="BB57" s="79"/>
      <c r="BC57" s="79"/>
      <c r="BD57" s="79"/>
      <c r="BE57" s="80"/>
    </row>
    <row r="58" spans="1:57" x14ac:dyDescent="0.25">
      <c r="F58" s="72"/>
      <c r="G58" s="86"/>
      <c r="H58" s="86"/>
      <c r="I58" s="86"/>
      <c r="J58" s="86"/>
      <c r="K58" s="86"/>
      <c r="L58" s="86"/>
      <c r="M58" s="86"/>
      <c r="N58" s="86"/>
      <c r="O58" s="86"/>
      <c r="P58" s="86"/>
      <c r="Q58" s="86"/>
      <c r="R58" s="86"/>
      <c r="S58" s="86"/>
      <c r="T58" s="72"/>
      <c r="U58" s="72"/>
      <c r="V58" s="72"/>
      <c r="W58" s="72"/>
      <c r="X58" s="72"/>
      <c r="Y58" s="72"/>
      <c r="Z58" s="72"/>
      <c r="AA58" s="72"/>
      <c r="AB58" s="72"/>
      <c r="AC58" s="72"/>
      <c r="AD58" s="87" t="s">
        <v>163</v>
      </c>
      <c r="AE58" s="88"/>
      <c r="AF58" s="88"/>
      <c r="AG58" s="88"/>
      <c r="AH58" s="89"/>
      <c r="AI58" s="79"/>
      <c r="AJ58" s="80"/>
      <c r="AK58" s="90" t="s">
        <v>163</v>
      </c>
      <c r="AL58" s="88"/>
      <c r="AM58" s="88"/>
      <c r="AN58" s="88"/>
      <c r="AO58" s="89"/>
      <c r="AP58" s="79"/>
      <c r="AQ58" s="80"/>
      <c r="AR58" s="90" t="s">
        <v>163</v>
      </c>
      <c r="AS58" s="88"/>
      <c r="AT58" s="88"/>
      <c r="AU58" s="88"/>
      <c r="AV58" s="89"/>
      <c r="AW58" s="79"/>
      <c r="AX58" s="80"/>
      <c r="AY58" s="90" t="s">
        <v>163</v>
      </c>
      <c r="AZ58" s="88"/>
      <c r="BA58" s="88"/>
      <c r="BB58" s="88"/>
      <c r="BC58" s="89"/>
      <c r="BD58" s="79"/>
      <c r="BE58" s="80"/>
    </row>
    <row r="59" spans="1:57" x14ac:dyDescent="0.25">
      <c r="F59" s="72"/>
      <c r="G59" s="86"/>
      <c r="H59" s="86"/>
      <c r="I59" s="86"/>
      <c r="J59" s="86"/>
      <c r="K59" s="86"/>
      <c r="L59" s="86"/>
      <c r="M59" s="86"/>
      <c r="N59" s="86"/>
      <c r="O59" s="86"/>
      <c r="P59" s="86"/>
      <c r="Q59" s="86"/>
      <c r="R59" s="86"/>
      <c r="S59" s="86"/>
      <c r="T59" s="72"/>
      <c r="U59" s="72"/>
      <c r="V59" s="72"/>
      <c r="W59" s="72"/>
      <c r="X59" s="72"/>
      <c r="Y59" s="72"/>
      <c r="Z59" s="72"/>
      <c r="AA59" s="72"/>
      <c r="AB59" s="72"/>
      <c r="AC59" s="72"/>
      <c r="AD59" s="91" t="s">
        <v>136</v>
      </c>
      <c r="AE59" s="79">
        <v>1</v>
      </c>
      <c r="AF59" s="79"/>
      <c r="AG59" s="79"/>
      <c r="AH59" s="79"/>
      <c r="AI59" s="79"/>
      <c r="AJ59" s="80"/>
      <c r="AK59" s="92" t="s">
        <v>136</v>
      </c>
      <c r="AL59" s="79">
        <v>1.6</v>
      </c>
      <c r="AM59" s="79"/>
      <c r="AN59" s="79"/>
      <c r="AO59" s="79"/>
      <c r="AP59" s="79"/>
      <c r="AQ59" s="80"/>
      <c r="AR59" s="92" t="s">
        <v>136</v>
      </c>
      <c r="AS59" s="79">
        <v>1.8</v>
      </c>
      <c r="AT59" s="79"/>
      <c r="AU59" s="79"/>
      <c r="AV59" s="79"/>
      <c r="AW59" s="79"/>
      <c r="AX59" s="80"/>
      <c r="AY59" s="92" t="s">
        <v>136</v>
      </c>
      <c r="AZ59" s="79">
        <v>1</v>
      </c>
      <c r="BA59" s="79"/>
      <c r="BB59" s="79"/>
      <c r="BC59" s="79"/>
      <c r="BD59" s="79"/>
      <c r="BE59" s="80"/>
    </row>
    <row r="60" spans="1:57" x14ac:dyDescent="0.25">
      <c r="A60" s="331" t="s">
        <v>244</v>
      </c>
      <c r="B60" s="332"/>
      <c r="C60" s="332"/>
      <c r="D60" s="332"/>
      <c r="F60" s="72"/>
      <c r="G60" s="86"/>
      <c r="H60" s="86"/>
      <c r="I60" s="86"/>
      <c r="J60" s="86"/>
      <c r="K60" s="86"/>
      <c r="L60" s="86"/>
      <c r="M60" s="86"/>
      <c r="N60" s="86"/>
      <c r="O60" s="86"/>
      <c r="P60" s="86"/>
      <c r="Q60" s="86"/>
      <c r="R60" s="86"/>
      <c r="S60" s="86"/>
      <c r="T60" s="72"/>
      <c r="U60" s="72"/>
      <c r="V60" s="72"/>
      <c r="W60" s="72"/>
      <c r="X60" s="72"/>
      <c r="Y60" s="72"/>
      <c r="Z60" s="72"/>
      <c r="AA60" s="72"/>
      <c r="AB60" s="72"/>
      <c r="AC60" s="72"/>
      <c r="AD60" s="91" t="s">
        <v>137</v>
      </c>
      <c r="AE60" s="79">
        <v>2</v>
      </c>
      <c r="AF60" s="79"/>
      <c r="AG60" s="79"/>
      <c r="AH60" s="79"/>
      <c r="AI60" s="79"/>
      <c r="AJ60" s="80"/>
      <c r="AK60" s="92" t="s">
        <v>137</v>
      </c>
      <c r="AL60" s="79">
        <v>2</v>
      </c>
      <c r="AM60" s="79"/>
      <c r="AN60" s="79"/>
      <c r="AO60" s="79"/>
      <c r="AP60" s="79"/>
      <c r="AQ60" s="80"/>
      <c r="AR60" s="92" t="s">
        <v>137</v>
      </c>
      <c r="AS60" s="79">
        <v>2</v>
      </c>
      <c r="AT60" s="79"/>
      <c r="AU60" s="79"/>
      <c r="AV60" s="79"/>
      <c r="AW60" s="79"/>
      <c r="AX60" s="80"/>
      <c r="AY60" s="92" t="s">
        <v>137</v>
      </c>
      <c r="AZ60" s="79">
        <v>2</v>
      </c>
      <c r="BA60" s="79"/>
      <c r="BB60" s="79"/>
      <c r="BC60" s="79"/>
      <c r="BD60" s="79"/>
      <c r="BE60" s="80"/>
    </row>
    <row r="61" spans="1:57" ht="18" x14ac:dyDescent="0.35">
      <c r="A61" s="332"/>
      <c r="B61" s="332"/>
      <c r="C61" s="332"/>
      <c r="D61" s="332"/>
      <c r="F61" s="72"/>
      <c r="G61" s="86"/>
      <c r="H61" s="86"/>
      <c r="I61" s="86"/>
      <c r="J61" s="86"/>
      <c r="K61" s="86"/>
      <c r="L61" s="86"/>
      <c r="M61" s="86"/>
      <c r="N61" s="86"/>
      <c r="O61" s="86"/>
      <c r="P61" s="86"/>
      <c r="Q61" s="86"/>
      <c r="R61" s="86"/>
      <c r="S61" s="86"/>
      <c r="T61" s="72"/>
      <c r="U61" s="72"/>
      <c r="V61" s="72"/>
      <c r="W61" s="72"/>
      <c r="X61" s="72"/>
      <c r="Y61" s="72"/>
      <c r="Z61" s="72"/>
      <c r="AA61" s="72"/>
      <c r="AB61" s="72"/>
      <c r="AC61" s="72"/>
      <c r="AD61" s="91" t="s">
        <v>211</v>
      </c>
      <c r="AE61" s="79">
        <v>0.2</v>
      </c>
      <c r="AF61" s="79" t="s">
        <v>162</v>
      </c>
      <c r="AG61" s="79"/>
      <c r="AH61" s="79"/>
      <c r="AI61" s="79"/>
      <c r="AJ61" s="80"/>
      <c r="AK61" s="91" t="s">
        <v>211</v>
      </c>
      <c r="AL61" s="79">
        <v>8.8000000000000007</v>
      </c>
      <c r="AM61" s="79" t="s">
        <v>162</v>
      </c>
      <c r="AN61" s="79"/>
      <c r="AO61" s="79"/>
      <c r="AP61" s="79"/>
      <c r="AQ61" s="80"/>
      <c r="AR61" s="91" t="s">
        <v>211</v>
      </c>
      <c r="AS61" s="79">
        <v>12</v>
      </c>
      <c r="AT61" s="79" t="s">
        <v>162</v>
      </c>
      <c r="AU61" s="79"/>
      <c r="AV61" s="79"/>
      <c r="AW61" s="79"/>
      <c r="AX61" s="80"/>
      <c r="AY61" s="91" t="s">
        <v>211</v>
      </c>
      <c r="AZ61" s="79">
        <v>1.9</v>
      </c>
      <c r="BA61" s="79" t="s">
        <v>162</v>
      </c>
      <c r="BB61" s="79"/>
      <c r="BC61" s="79"/>
      <c r="BD61" s="79"/>
      <c r="BE61" s="80"/>
    </row>
    <row r="62" spans="1:57" ht="18.75" thickBot="1" x14ac:dyDescent="0.4">
      <c r="A62" s="332"/>
      <c r="B62" s="332"/>
      <c r="C62" s="332"/>
      <c r="D62" s="332"/>
      <c r="F62" s="72"/>
      <c r="G62" s="86"/>
      <c r="H62" s="86"/>
      <c r="I62" s="86"/>
      <c r="J62" s="86"/>
      <c r="K62" s="86"/>
      <c r="L62" s="86"/>
      <c r="M62" s="86"/>
      <c r="N62" s="86"/>
      <c r="O62" s="86"/>
      <c r="P62" s="86"/>
      <c r="Q62" s="86"/>
      <c r="R62" s="86"/>
      <c r="S62" s="86"/>
      <c r="T62" s="72"/>
      <c r="U62" s="72"/>
      <c r="V62" s="72"/>
      <c r="W62" s="72"/>
      <c r="X62" s="72"/>
      <c r="Y62" s="72"/>
      <c r="Z62" s="72"/>
      <c r="AA62" s="72"/>
      <c r="AB62" s="72"/>
      <c r="AC62" s="72"/>
      <c r="AD62" s="91" t="s">
        <v>212</v>
      </c>
      <c r="AE62" s="79">
        <v>19</v>
      </c>
      <c r="AF62" s="79" t="s">
        <v>162</v>
      </c>
      <c r="AG62" s="79"/>
      <c r="AH62" s="79"/>
      <c r="AI62" s="79"/>
      <c r="AJ62" s="80"/>
      <c r="AK62" s="91" t="s">
        <v>212</v>
      </c>
      <c r="AL62" s="79">
        <v>110</v>
      </c>
      <c r="AM62" s="79" t="s">
        <v>162</v>
      </c>
      <c r="AN62" s="79"/>
      <c r="AO62" s="79"/>
      <c r="AP62" s="79"/>
      <c r="AQ62" s="80"/>
      <c r="AR62" s="91" t="s">
        <v>212</v>
      </c>
      <c r="AS62" s="79">
        <v>140</v>
      </c>
      <c r="AT62" s="79" t="s">
        <v>162</v>
      </c>
      <c r="AU62" s="79"/>
      <c r="AV62" s="79"/>
      <c r="AW62" s="79"/>
      <c r="AX62" s="80"/>
      <c r="AY62" s="91" t="s">
        <v>212</v>
      </c>
      <c r="AZ62" s="79">
        <v>30</v>
      </c>
      <c r="BA62" s="79" t="s">
        <v>162</v>
      </c>
      <c r="BB62" s="79"/>
      <c r="BC62" s="79"/>
      <c r="BD62" s="79"/>
      <c r="BE62" s="80"/>
    </row>
    <row r="63" spans="1:57" ht="15.75" thickBot="1" x14ac:dyDescent="0.3">
      <c r="A63" s="332"/>
      <c r="B63" s="332"/>
      <c r="C63" s="332"/>
      <c r="D63" s="332"/>
      <c r="F63" s="72"/>
      <c r="G63" s="86"/>
      <c r="H63" s="86"/>
      <c r="I63" s="86"/>
      <c r="J63" s="86"/>
      <c r="K63" s="86"/>
      <c r="L63" s="86"/>
      <c r="M63" s="86"/>
      <c r="N63" s="86"/>
      <c r="O63" s="86"/>
      <c r="P63" s="86"/>
      <c r="Q63" s="86"/>
      <c r="R63" s="86"/>
      <c r="S63" s="86"/>
      <c r="T63" s="72"/>
      <c r="U63" s="72"/>
      <c r="V63" s="72"/>
      <c r="W63" s="72"/>
      <c r="X63" s="72"/>
      <c r="Y63" s="72"/>
      <c r="Z63" s="72"/>
      <c r="AA63" s="72"/>
      <c r="AB63" s="72"/>
      <c r="AC63" s="72"/>
      <c r="AD63" s="91" t="s">
        <v>138</v>
      </c>
      <c r="AE63" s="79">
        <v>0.13</v>
      </c>
      <c r="AF63" s="79" t="s">
        <v>164</v>
      </c>
      <c r="AG63" s="79"/>
      <c r="AH63" s="79"/>
      <c r="AI63" s="79"/>
      <c r="AJ63" s="80"/>
      <c r="AK63" s="92" t="s">
        <v>138</v>
      </c>
      <c r="AL63" s="79">
        <v>1.2</v>
      </c>
      <c r="AM63" s="79" t="s">
        <v>164</v>
      </c>
      <c r="AN63" s="79"/>
      <c r="AO63" s="79"/>
      <c r="AP63" s="79"/>
      <c r="AQ63" s="80"/>
      <c r="AR63" s="92" t="s">
        <v>138</v>
      </c>
      <c r="AS63" s="79">
        <v>1.36</v>
      </c>
      <c r="AT63" s="79" t="s">
        <v>164</v>
      </c>
      <c r="AU63" s="79"/>
      <c r="AV63" s="79"/>
      <c r="AW63" s="79"/>
      <c r="AX63" s="80"/>
      <c r="AY63" s="92" t="s">
        <v>138</v>
      </c>
      <c r="AZ63" s="79">
        <v>0.75</v>
      </c>
      <c r="BA63" s="79" t="s">
        <v>164</v>
      </c>
      <c r="BB63" s="93">
        <v>2</v>
      </c>
      <c r="BC63" s="94" t="s">
        <v>162</v>
      </c>
      <c r="BD63" s="79"/>
      <c r="BE63" s="80"/>
    </row>
    <row r="64" spans="1:57" ht="15.75" thickBot="1" x14ac:dyDescent="0.3">
      <c r="A64" s="332"/>
      <c r="B64" s="332"/>
      <c r="C64" s="332"/>
      <c r="D64" s="332"/>
      <c r="F64" s="72"/>
      <c r="G64" s="73"/>
      <c r="H64" s="72"/>
      <c r="I64" s="72"/>
      <c r="J64" s="72"/>
      <c r="K64" s="72"/>
      <c r="L64" s="72"/>
      <c r="M64" s="72"/>
      <c r="N64" s="72"/>
      <c r="O64" s="72"/>
      <c r="P64" s="72"/>
      <c r="Q64" s="72"/>
      <c r="R64" s="72"/>
      <c r="S64" s="72"/>
      <c r="T64" s="72"/>
      <c r="U64" s="72"/>
      <c r="V64" s="72"/>
      <c r="W64" s="72"/>
      <c r="X64" s="72"/>
      <c r="Y64" s="72"/>
      <c r="Z64" s="72"/>
      <c r="AA64" s="72"/>
      <c r="AB64" s="72"/>
      <c r="AC64" s="72"/>
      <c r="AD64" s="95"/>
      <c r="AE64" s="96"/>
      <c r="AF64" s="96"/>
      <c r="AG64" s="96"/>
      <c r="AH64" s="96"/>
      <c r="AI64" s="96"/>
      <c r="AJ64" s="97"/>
      <c r="AK64" s="95"/>
      <c r="AL64" s="96"/>
      <c r="AM64" s="96"/>
      <c r="AN64" s="96"/>
      <c r="AO64" s="96"/>
      <c r="AP64" s="96"/>
      <c r="AQ64" s="97"/>
      <c r="AR64" s="95"/>
      <c r="AS64" s="96"/>
      <c r="AT64" s="96"/>
      <c r="AU64" s="96"/>
      <c r="AV64" s="96"/>
      <c r="AW64" s="96"/>
      <c r="AX64" s="97"/>
      <c r="AY64" s="95"/>
      <c r="AZ64" s="96"/>
      <c r="BA64" s="96"/>
      <c r="BB64" s="96"/>
      <c r="BC64" s="96"/>
      <c r="BD64" s="96"/>
      <c r="BE64" s="97"/>
    </row>
    <row r="65" spans="1:4" x14ac:dyDescent="0.25">
      <c r="A65" s="332"/>
      <c r="B65" s="332"/>
      <c r="C65" s="332"/>
      <c r="D65" s="332"/>
    </row>
    <row r="66" spans="1:4" x14ac:dyDescent="0.25">
      <c r="A66" s="332"/>
      <c r="B66" s="332"/>
      <c r="C66" s="332"/>
      <c r="D66" s="332"/>
    </row>
    <row r="67" spans="1:4" x14ac:dyDescent="0.25">
      <c r="A67" s="332"/>
      <c r="B67" s="332"/>
      <c r="C67" s="332"/>
      <c r="D67" s="332"/>
    </row>
  </sheetData>
  <sheetProtection algorithmName="SHA-512" hashValue="nlopKpyfcTKQN1RAca9oaCvu9oOgatzBx2J6RjzxGJxsk2dlf4eJ7k/zvFk5pgLmocozsJJxa8Nahha4QCfA/g==" saltValue="YoHZA2rl2CJ92+2CbDEJ+Q==" spinCount="100000" sheet="1" objects="1" scenarios="1"/>
  <protectedRanges>
    <protectedRange sqref="B7:B11 B13:B16" name="Inputs"/>
    <protectedRange sqref="A2:D3" name="Project info"/>
  </protectedRanges>
  <mergeCells count="17">
    <mergeCell ref="A60:D67"/>
    <mergeCell ref="AY2:BE2"/>
    <mergeCell ref="AD2:AJ2"/>
    <mergeCell ref="AK2:AQ2"/>
    <mergeCell ref="AR2:AX2"/>
    <mergeCell ref="A1:H1"/>
    <mergeCell ref="A25:D25"/>
    <mergeCell ref="A28:D28"/>
    <mergeCell ref="A48:D48"/>
    <mergeCell ref="Z2:AC2"/>
    <mergeCell ref="M2:Y2"/>
    <mergeCell ref="A6:D6"/>
    <mergeCell ref="A12:D12"/>
    <mergeCell ref="A2:D2"/>
    <mergeCell ref="A3:D3"/>
    <mergeCell ref="A18:D18"/>
    <mergeCell ref="A19:D19"/>
  </mergeCells>
  <pageMargins left="0.7" right="0.7" top="0.75" bottom="0.75" header="0.3" footer="0.3"/>
  <pageSetup paperSize="17" scale="9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13DD-31F8-48A9-992D-632729AF99A4}">
  <sheetPr>
    <pageSetUpPr fitToPage="1"/>
  </sheetPr>
  <dimension ref="A1:AH56"/>
  <sheetViews>
    <sheetView showGridLines="0" zoomScaleNormal="100" workbookViewId="0">
      <selection activeCell="I28" sqref="I28"/>
    </sheetView>
  </sheetViews>
  <sheetFormatPr defaultColWidth="9.140625" defaultRowHeight="15" x14ac:dyDescent="0.25"/>
  <cols>
    <col min="1" max="1" width="16.28515625" style="129" customWidth="1"/>
    <col min="2" max="4" width="12.28515625" style="129" customWidth="1"/>
    <col min="5" max="5" width="3.28515625" style="129" customWidth="1"/>
    <col min="6" max="6" width="11.28515625" style="129" customWidth="1"/>
    <col min="7" max="7" width="12.85546875" style="129" customWidth="1"/>
    <col min="8" max="9" width="11.85546875" style="129" customWidth="1"/>
    <col min="10" max="10" width="9.140625" style="122" customWidth="1"/>
    <col min="11" max="28" width="10.5703125" style="122" customWidth="1"/>
    <col min="29" max="16384" width="9.140625" style="122"/>
  </cols>
  <sheetData>
    <row r="1" spans="1:34"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34" ht="15" customHeight="1" x14ac:dyDescent="0.25">
      <c r="A2" s="123"/>
      <c r="B2" s="123"/>
      <c r="C2" s="123"/>
      <c r="D2" s="123"/>
      <c r="E2" s="121"/>
      <c r="F2" s="123"/>
      <c r="G2" s="123"/>
      <c r="H2" s="123"/>
      <c r="I2" s="123"/>
    </row>
    <row r="3" spans="1:34" ht="24" customHeight="1" x14ac:dyDescent="0.25">
      <c r="A3" s="342" t="s">
        <v>82</v>
      </c>
      <c r="B3" s="351" t="s">
        <v>102</v>
      </c>
      <c r="C3" s="352"/>
      <c r="D3" s="353"/>
      <c r="E3" s="163"/>
      <c r="F3" s="342" t="s">
        <v>82</v>
      </c>
      <c r="G3" s="348" t="s">
        <v>197</v>
      </c>
      <c r="H3" s="348"/>
      <c r="I3" s="349" t="s">
        <v>75</v>
      </c>
    </row>
    <row r="4" spans="1:34" x14ac:dyDescent="0.25">
      <c r="A4" s="343"/>
      <c r="B4" s="351" t="s">
        <v>83</v>
      </c>
      <c r="C4" s="353"/>
      <c r="D4" s="126" t="s">
        <v>74</v>
      </c>
      <c r="E4" s="163"/>
      <c r="F4" s="343"/>
      <c r="G4" s="348"/>
      <c r="H4" s="348"/>
      <c r="I4" s="350"/>
      <c r="K4" s="125"/>
      <c r="L4" s="125"/>
      <c r="M4" s="125"/>
      <c r="N4" s="125"/>
      <c r="O4" s="125"/>
      <c r="P4" s="125"/>
      <c r="Q4" s="125"/>
      <c r="R4" s="125"/>
      <c r="S4" s="125"/>
      <c r="T4" s="125"/>
      <c r="U4" s="125"/>
      <c r="V4" s="125"/>
      <c r="W4" s="125"/>
      <c r="X4" s="125"/>
      <c r="Y4" s="125"/>
      <c r="Z4" s="125"/>
    </row>
    <row r="5" spans="1:34" x14ac:dyDescent="0.25">
      <c r="A5" s="343"/>
      <c r="B5" s="126" t="s">
        <v>139</v>
      </c>
      <c r="C5" s="126" t="s">
        <v>96</v>
      </c>
      <c r="D5" s="126" t="s">
        <v>148</v>
      </c>
      <c r="E5" s="163"/>
      <c r="F5" s="343"/>
      <c r="G5" s="126" t="s">
        <v>95</v>
      </c>
      <c r="H5" s="126" t="s">
        <v>96</v>
      </c>
      <c r="I5" s="126" t="s">
        <v>97</v>
      </c>
      <c r="K5" s="125"/>
      <c r="L5" s="125"/>
      <c r="M5" s="125"/>
      <c r="N5" s="125"/>
      <c r="O5" s="125"/>
      <c r="P5" s="125"/>
      <c r="Q5" s="125"/>
      <c r="R5" s="125"/>
      <c r="S5" s="125"/>
      <c r="T5" s="125"/>
      <c r="U5" s="125"/>
      <c r="V5" s="125"/>
      <c r="W5" s="125"/>
      <c r="X5" s="125"/>
      <c r="Y5" s="125"/>
      <c r="Z5" s="125"/>
    </row>
    <row r="6" spans="1:34" ht="27" customHeight="1" x14ac:dyDescent="0.25">
      <c r="A6" s="344"/>
      <c r="B6" s="126" t="s">
        <v>140</v>
      </c>
      <c r="C6" s="126" t="s">
        <v>84</v>
      </c>
      <c r="D6" s="126" t="s">
        <v>140</v>
      </c>
      <c r="E6" s="163"/>
      <c r="F6" s="344"/>
      <c r="G6" s="126" t="s">
        <v>98</v>
      </c>
      <c r="H6" s="126" t="s">
        <v>78</v>
      </c>
      <c r="I6" s="126" t="s">
        <v>78</v>
      </c>
      <c r="K6" s="125"/>
      <c r="L6" s="125"/>
      <c r="M6" s="125"/>
      <c r="N6" s="125"/>
      <c r="O6" s="125"/>
      <c r="P6" s="125"/>
      <c r="Q6" s="125"/>
      <c r="R6" s="125"/>
      <c r="S6" s="125"/>
      <c r="T6" s="125"/>
      <c r="U6" s="125"/>
      <c r="V6" s="125"/>
      <c r="W6" s="125"/>
      <c r="X6" s="125"/>
      <c r="Y6" s="125"/>
      <c r="Z6" s="125"/>
    </row>
    <row r="7" spans="1:34" ht="36" customHeight="1" x14ac:dyDescent="0.25">
      <c r="A7" s="127" t="s">
        <v>151</v>
      </c>
      <c r="B7" s="128" t="s">
        <v>85</v>
      </c>
      <c r="C7" s="128">
        <v>213</v>
      </c>
      <c r="D7" s="128" t="s">
        <v>86</v>
      </c>
      <c r="E7" s="163"/>
      <c r="F7" s="127" t="s">
        <v>152</v>
      </c>
      <c r="G7" s="128">
        <v>183</v>
      </c>
      <c r="H7" s="128">
        <v>206</v>
      </c>
      <c r="I7" s="128">
        <v>150</v>
      </c>
      <c r="K7" s="125"/>
      <c r="L7" s="125"/>
      <c r="M7" s="125"/>
      <c r="N7" s="125"/>
      <c r="O7" s="125"/>
      <c r="P7" s="125"/>
      <c r="Q7" s="125"/>
      <c r="R7" s="125"/>
      <c r="S7" s="125"/>
      <c r="T7" s="125"/>
      <c r="U7" s="125"/>
      <c r="V7" s="125"/>
      <c r="W7" s="125"/>
      <c r="X7" s="125"/>
      <c r="Y7" s="125"/>
      <c r="Z7" s="125"/>
    </row>
    <row r="8" spans="1:34" ht="36" customHeight="1" x14ac:dyDescent="0.25">
      <c r="A8" s="164"/>
      <c r="B8" s="165"/>
      <c r="C8" s="165"/>
      <c r="D8" s="165"/>
      <c r="E8" s="163"/>
      <c r="F8" s="166" t="s">
        <v>153</v>
      </c>
      <c r="G8" s="167">
        <v>187</v>
      </c>
      <c r="H8" s="167">
        <v>206</v>
      </c>
      <c r="I8" s="167">
        <v>150</v>
      </c>
      <c r="K8" s="125"/>
      <c r="L8" s="125"/>
      <c r="M8" s="125"/>
      <c r="N8" s="125"/>
      <c r="O8" s="125"/>
      <c r="P8" s="125"/>
      <c r="Q8" s="125"/>
      <c r="R8" s="125"/>
      <c r="S8" s="125"/>
      <c r="T8" s="125"/>
      <c r="U8" s="125"/>
      <c r="V8" s="125"/>
      <c r="W8" s="125"/>
      <c r="X8" s="125"/>
      <c r="Y8" s="125"/>
      <c r="Z8" s="125"/>
    </row>
    <row r="9" spans="1:34" ht="16.5" customHeight="1" thickBot="1" x14ac:dyDescent="0.3">
      <c r="A9" s="164"/>
      <c r="B9" s="165"/>
      <c r="C9" s="165"/>
      <c r="D9" s="165"/>
      <c r="E9" s="163"/>
      <c r="F9" s="168"/>
      <c r="G9" s="169"/>
      <c r="H9" s="169"/>
      <c r="I9" s="169"/>
      <c r="K9" s="125"/>
      <c r="L9" s="125"/>
      <c r="M9" s="125"/>
      <c r="N9" s="125"/>
      <c r="O9" s="125"/>
      <c r="P9" s="125"/>
      <c r="Q9" s="125"/>
      <c r="R9" s="125"/>
      <c r="S9" s="125"/>
      <c r="T9" s="125"/>
      <c r="U9" s="125"/>
      <c r="V9" s="125"/>
      <c r="W9" s="125"/>
      <c r="X9" s="125"/>
      <c r="Y9" s="125"/>
      <c r="Z9" s="125"/>
    </row>
    <row r="10" spans="1:34" ht="15.75" thickBot="1" x14ac:dyDescent="0.3">
      <c r="A10" s="339" t="s">
        <v>111</v>
      </c>
      <c r="B10" s="340"/>
      <c r="C10" s="340"/>
      <c r="D10" s="341"/>
      <c r="E10" s="163"/>
      <c r="F10" s="345" t="s">
        <v>111</v>
      </c>
      <c r="G10" s="346"/>
      <c r="H10" s="346"/>
      <c r="I10" s="347"/>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1:34" ht="36" customHeight="1" x14ac:dyDescent="0.25">
      <c r="A11" s="170" t="s">
        <v>151</v>
      </c>
      <c r="B11" s="161">
        <f>IF(Calcs!M52&gt;5000,"&gt; 5000",IF(Calcs!M52&lt;Calcs!$B$11/2,0,Calcs!M52))</f>
        <v>0</v>
      </c>
      <c r="C11" s="161">
        <f>IF(Calcs!S52&gt;5000,"&gt; 5000",IF(Calcs!S52&lt;Calcs!$B$11/2,0,Calcs!S52))</f>
        <v>31.352901422562354</v>
      </c>
      <c r="D11" s="161">
        <f>IF(Calcs!P52&gt;5000,"&gt; 5000",IF(Calcs!P52&lt;Calcs!$B$11/2,0,Calcs!P52))</f>
        <v>1571.2114062533092</v>
      </c>
      <c r="F11" s="130" t="s">
        <v>152</v>
      </c>
      <c r="G11" s="106">
        <f>IF(Calcs!V52&gt;5000,"&gt; 5000",IF(Calcs!V52&lt;Calcs!$B$11/2,0,Calcs!V52))</f>
        <v>2423.8711361998121</v>
      </c>
      <c r="H11" s="106">
        <f>IF(Calcs!X52&gt;5000,"&gt; 5000",IF(Calcs!X52&lt;Calcs!$B$11/2,0,Calcs!X52))</f>
        <v>116.77179280627522</v>
      </c>
      <c r="I11" s="106" t="str">
        <f>IF(Calcs!Y52&gt;5000,"&gt; 5000",IF(Calcs!Y52&lt;Calcs!$B$11/2,0,Calcs!Y52))</f>
        <v>&gt; 5000</v>
      </c>
      <c r="J11" s="131"/>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1:34" ht="36" customHeight="1" x14ac:dyDescent="0.25">
      <c r="A12" s="171"/>
      <c r="B12" s="172"/>
      <c r="C12" s="172"/>
      <c r="D12" s="172"/>
      <c r="F12" s="127" t="s">
        <v>153</v>
      </c>
      <c r="G12" s="106">
        <f>IF(Calcs!W52&gt;5000,"&gt; 5000",IF(Calcs!W52&lt;Calcs!$B$11/2,0,Calcs!W52))</f>
        <v>1340.661616166869</v>
      </c>
      <c r="H12" s="106">
        <f>IF(Calcs!X52&gt;5000,"&gt; 5000",IF(Calcs!X52&lt;Calcs!$B$11/2,0,Calcs!X52))</f>
        <v>116.77179280627522</v>
      </c>
      <c r="I12" s="106" t="str">
        <f>IF(Calcs!Y52&gt;5000,"&gt; 5000",IF(Calcs!Y52&lt;Calcs!$B$11/2,0,Calcs!Y52))</f>
        <v>&gt; 5000</v>
      </c>
      <c r="K12" s="125"/>
      <c r="L12" s="125"/>
      <c r="M12" s="125"/>
      <c r="N12" s="125"/>
      <c r="O12" s="125"/>
      <c r="P12" s="125"/>
      <c r="Q12" s="125"/>
      <c r="R12" s="125"/>
      <c r="AA12" s="125"/>
      <c r="AB12" s="125"/>
      <c r="AC12" s="125"/>
      <c r="AD12" s="125"/>
      <c r="AE12" s="125"/>
      <c r="AF12" s="125"/>
      <c r="AG12" s="125"/>
      <c r="AH12" s="125"/>
    </row>
    <row r="13" spans="1:34" x14ac:dyDescent="0.25">
      <c r="A13" s="171"/>
      <c r="B13" s="172"/>
      <c r="C13" s="172"/>
      <c r="D13" s="172"/>
      <c r="K13" s="125"/>
      <c r="L13" s="125"/>
      <c r="M13" s="125"/>
      <c r="N13" s="125"/>
      <c r="O13" s="125"/>
      <c r="P13" s="125"/>
      <c r="Q13" s="125"/>
      <c r="R13" s="125"/>
      <c r="AA13" s="125"/>
      <c r="AB13" s="125"/>
      <c r="AC13" s="125"/>
      <c r="AD13" s="125"/>
      <c r="AE13" s="125"/>
      <c r="AF13" s="125"/>
      <c r="AG13" s="125"/>
      <c r="AH13" s="125"/>
    </row>
    <row r="14" spans="1:34" x14ac:dyDescent="0.25">
      <c r="A14" s="132" t="s">
        <v>171</v>
      </c>
      <c r="B14" s="132"/>
      <c r="C14" s="132"/>
      <c r="D14" s="132"/>
      <c r="E14" s="132"/>
      <c r="F14" s="132"/>
      <c r="G14" s="132"/>
      <c r="H14" s="132"/>
      <c r="I14" s="132"/>
      <c r="K14" s="125"/>
      <c r="L14" s="125"/>
      <c r="M14" s="125"/>
      <c r="N14" s="125"/>
      <c r="O14" s="125"/>
      <c r="P14" s="125"/>
      <c r="Q14" s="125"/>
      <c r="R14" s="125"/>
      <c r="AA14" s="125"/>
      <c r="AB14" s="125"/>
      <c r="AC14" s="125"/>
      <c r="AD14" s="125"/>
      <c r="AE14" s="125"/>
      <c r="AF14" s="125"/>
      <c r="AG14" s="125"/>
      <c r="AH14" s="125"/>
    </row>
    <row r="15" spans="1:34" x14ac:dyDescent="0.25">
      <c r="A15" s="173"/>
      <c r="B15" s="173">
        <v>216</v>
      </c>
      <c r="C15" s="173">
        <v>213</v>
      </c>
      <c r="D15" s="132">
        <v>186</v>
      </c>
      <c r="E15" s="132"/>
      <c r="F15" s="132">
        <v>183</v>
      </c>
      <c r="G15" s="132">
        <v>187</v>
      </c>
      <c r="H15" s="132">
        <v>206</v>
      </c>
      <c r="I15" s="132">
        <v>150</v>
      </c>
      <c r="K15" s="125"/>
      <c r="L15" s="125"/>
      <c r="M15" s="125"/>
      <c r="N15" s="125"/>
      <c r="O15" s="125"/>
      <c r="P15" s="125"/>
      <c r="Q15" s="125"/>
      <c r="R15" s="125"/>
      <c r="AA15" s="125"/>
      <c r="AB15" s="125"/>
      <c r="AC15" s="125"/>
      <c r="AD15" s="125"/>
      <c r="AE15" s="125"/>
      <c r="AF15" s="125"/>
      <c r="AG15" s="125"/>
      <c r="AH15" s="125"/>
    </row>
    <row r="16" spans="1:34" x14ac:dyDescent="0.25">
      <c r="A16" s="132">
        <v>1</v>
      </c>
      <c r="B16" s="132">
        <v>216</v>
      </c>
      <c r="C16" s="132">
        <v>213</v>
      </c>
      <c r="D16" s="132">
        <v>186</v>
      </c>
      <c r="E16" s="132"/>
      <c r="F16" s="132">
        <v>183</v>
      </c>
      <c r="G16" s="132">
        <v>187</v>
      </c>
      <c r="H16" s="132">
        <v>206</v>
      </c>
      <c r="I16" s="132">
        <v>150</v>
      </c>
      <c r="K16" s="125"/>
      <c r="L16" s="125"/>
      <c r="M16" s="125"/>
      <c r="N16" s="125"/>
      <c r="O16" s="125"/>
      <c r="P16" s="125"/>
      <c r="Q16" s="125"/>
      <c r="R16" s="125"/>
      <c r="AA16" s="125"/>
      <c r="AB16" s="125"/>
      <c r="AC16" s="125"/>
      <c r="AD16" s="125"/>
      <c r="AE16" s="125"/>
      <c r="AF16" s="125"/>
      <c r="AG16" s="125"/>
      <c r="AH16" s="125"/>
    </row>
    <row r="17" spans="1:34" x14ac:dyDescent="0.25">
      <c r="A17" s="132">
        <v>5000</v>
      </c>
      <c r="B17" s="132">
        <v>216</v>
      </c>
      <c r="C17" s="132">
        <v>213</v>
      </c>
      <c r="D17" s="132">
        <v>186</v>
      </c>
      <c r="E17" s="132"/>
      <c r="F17" s="132">
        <v>183</v>
      </c>
      <c r="G17" s="132">
        <v>187</v>
      </c>
      <c r="H17" s="132">
        <v>206</v>
      </c>
      <c r="I17" s="132">
        <v>150</v>
      </c>
      <c r="K17" s="125"/>
      <c r="L17" s="125"/>
      <c r="M17" s="125"/>
      <c r="N17" s="125"/>
      <c r="O17" s="125"/>
      <c r="P17" s="125"/>
      <c r="Q17" s="125"/>
      <c r="R17" s="125"/>
      <c r="AA17" s="125"/>
      <c r="AB17" s="125"/>
      <c r="AC17" s="125"/>
      <c r="AD17" s="125"/>
      <c r="AE17" s="125"/>
      <c r="AF17" s="125"/>
      <c r="AG17" s="125"/>
      <c r="AH17" s="125"/>
    </row>
    <row r="18" spans="1:34" ht="15.75" thickBot="1" x14ac:dyDescent="0.3">
      <c r="A18" s="137" t="s">
        <v>172</v>
      </c>
      <c r="B18" s="138"/>
      <c r="C18" s="138"/>
      <c r="K18" s="125"/>
      <c r="L18" s="125"/>
      <c r="M18" s="125"/>
      <c r="N18" s="125"/>
      <c r="O18" s="125"/>
      <c r="P18" s="125"/>
      <c r="Q18" s="125"/>
      <c r="R18" s="125"/>
    </row>
    <row r="19" spans="1:34" ht="15.75" thickBot="1" x14ac:dyDescent="0.3">
      <c r="A19" s="139" t="s">
        <v>73</v>
      </c>
      <c r="B19" s="140" t="s">
        <v>72</v>
      </c>
      <c r="C19" s="141" t="s">
        <v>70</v>
      </c>
      <c r="G19" s="122"/>
      <c r="H19" s="122"/>
      <c r="I19" s="122"/>
      <c r="K19" s="125"/>
      <c r="L19" s="125"/>
      <c r="M19" s="125"/>
      <c r="N19" s="125"/>
      <c r="O19" s="125"/>
      <c r="P19" s="125"/>
      <c r="Q19" s="125"/>
      <c r="R19" s="125"/>
      <c r="S19" s="135"/>
      <c r="T19" s="125"/>
      <c r="U19" s="125"/>
      <c r="V19" s="125"/>
      <c r="W19" s="125"/>
      <c r="X19" s="125"/>
      <c r="Y19" s="125"/>
      <c r="Z19" s="125"/>
    </row>
    <row r="20" spans="1:34" x14ac:dyDescent="0.25">
      <c r="A20" s="107" t="s">
        <v>2</v>
      </c>
      <c r="B20" s="100">
        <f>Calcs!B$7</f>
        <v>29</v>
      </c>
      <c r="C20" s="108" t="s">
        <v>3</v>
      </c>
      <c r="G20" s="122"/>
      <c r="H20" s="122"/>
      <c r="I20" s="122"/>
    </row>
    <row r="21" spans="1:34" ht="18" x14ac:dyDescent="0.25">
      <c r="A21" s="109" t="s">
        <v>106</v>
      </c>
      <c r="B21" s="101">
        <f>Calcs!B$8</f>
        <v>179</v>
      </c>
      <c r="C21" s="110" t="s">
        <v>10</v>
      </c>
      <c r="G21" s="122"/>
      <c r="H21" s="122"/>
      <c r="I21" s="122"/>
    </row>
    <row r="22" spans="1:34" x14ac:dyDescent="0.25">
      <c r="A22" s="109" t="s">
        <v>16</v>
      </c>
      <c r="B22" s="101">
        <f>Calcs!B$9</f>
        <v>234</v>
      </c>
      <c r="C22" s="110" t="s">
        <v>9</v>
      </c>
      <c r="G22" s="122"/>
      <c r="H22" s="122"/>
      <c r="I22" s="122"/>
    </row>
    <row r="23" spans="1:34" x14ac:dyDescent="0.25">
      <c r="A23" s="111" t="s">
        <v>108</v>
      </c>
      <c r="B23" s="101">
        <f>Calcs!B$10</f>
        <v>50</v>
      </c>
      <c r="C23" s="112" t="s">
        <v>165</v>
      </c>
      <c r="G23" s="122"/>
      <c r="H23" s="122"/>
      <c r="I23" s="122"/>
      <c r="K23" s="125"/>
      <c r="L23" s="125"/>
      <c r="M23" s="125"/>
      <c r="N23" s="125"/>
      <c r="O23" s="125"/>
      <c r="P23" s="125"/>
      <c r="Q23" s="125"/>
      <c r="R23" s="125"/>
      <c r="S23" s="125"/>
      <c r="T23" s="125"/>
      <c r="U23" s="125"/>
      <c r="V23" s="125"/>
      <c r="W23" s="125"/>
      <c r="X23" s="125"/>
      <c r="Y23" s="125"/>
      <c r="Z23" s="125"/>
    </row>
    <row r="24" spans="1:34" ht="15.75" thickBot="1" x14ac:dyDescent="0.3">
      <c r="A24" s="113" t="s">
        <v>91</v>
      </c>
      <c r="B24" s="102">
        <f>Calcs!B$11</f>
        <v>6</v>
      </c>
      <c r="C24" s="114" t="s">
        <v>9</v>
      </c>
      <c r="G24" s="122"/>
      <c r="H24" s="122"/>
      <c r="I24" s="122"/>
      <c r="K24" s="125"/>
      <c r="L24" s="125"/>
      <c r="M24" s="125"/>
      <c r="N24" s="125"/>
      <c r="O24" s="125"/>
      <c r="P24" s="125"/>
      <c r="Q24" s="125"/>
      <c r="R24" s="125"/>
      <c r="S24" s="125"/>
      <c r="T24" s="125"/>
      <c r="U24" s="125"/>
      <c r="V24" s="125"/>
      <c r="W24" s="125"/>
      <c r="X24" s="125"/>
      <c r="Y24" s="125"/>
      <c r="Z24" s="125"/>
    </row>
    <row r="25" spans="1:34" x14ac:dyDescent="0.25">
      <c r="A25" s="115" t="s">
        <v>0</v>
      </c>
      <c r="B25" s="103">
        <f>Calcs!B$13</f>
        <v>1500</v>
      </c>
      <c r="C25" s="116" t="s">
        <v>1</v>
      </c>
      <c r="G25" s="122"/>
      <c r="H25" s="122"/>
      <c r="I25" s="122"/>
      <c r="K25" s="125"/>
      <c r="L25" s="125"/>
      <c r="M25" s="125"/>
      <c r="N25" s="125"/>
      <c r="O25" s="125"/>
      <c r="P25" s="125"/>
      <c r="Q25" s="125"/>
      <c r="R25" s="125"/>
      <c r="S25" s="125"/>
      <c r="T25" s="125"/>
      <c r="U25" s="125"/>
      <c r="V25" s="125"/>
      <c r="W25" s="125"/>
      <c r="X25" s="125"/>
      <c r="Y25" s="125"/>
      <c r="Z25" s="125"/>
    </row>
    <row r="26" spans="1:34" ht="17.25" x14ac:dyDescent="0.25">
      <c r="A26" s="117" t="s">
        <v>22</v>
      </c>
      <c r="B26" s="104">
        <f>Calcs!B$14</f>
        <v>1029</v>
      </c>
      <c r="C26" s="118" t="s">
        <v>166</v>
      </c>
      <c r="G26" s="122"/>
      <c r="H26" s="122"/>
      <c r="I26" s="122"/>
      <c r="K26" s="125"/>
      <c r="L26" s="125"/>
      <c r="M26" s="125"/>
      <c r="N26" s="125"/>
      <c r="O26" s="125"/>
      <c r="P26" s="125"/>
      <c r="Q26" s="125"/>
      <c r="R26" s="125"/>
      <c r="S26" s="125"/>
      <c r="T26" s="125"/>
      <c r="U26" s="125"/>
      <c r="V26" s="125"/>
      <c r="W26" s="125"/>
      <c r="X26" s="125"/>
      <c r="Y26" s="125"/>
      <c r="Z26" s="125"/>
    </row>
    <row r="27" spans="1:34" x14ac:dyDescent="0.25">
      <c r="A27" s="117" t="s">
        <v>104</v>
      </c>
      <c r="B27" s="104">
        <f>Calcs!B$15</f>
        <v>1.5</v>
      </c>
      <c r="C27" s="118" t="s">
        <v>4</v>
      </c>
      <c r="G27" s="122"/>
      <c r="H27" s="122"/>
      <c r="I27" s="122"/>
      <c r="K27" s="125"/>
      <c r="L27" s="125"/>
      <c r="M27" s="125"/>
      <c r="N27" s="125"/>
      <c r="O27" s="125"/>
      <c r="P27" s="125"/>
      <c r="Q27" s="125"/>
      <c r="R27" s="125"/>
      <c r="S27" s="125"/>
      <c r="T27" s="125"/>
      <c r="U27" s="125"/>
      <c r="V27" s="125"/>
      <c r="W27" s="125"/>
      <c r="X27" s="125"/>
      <c r="Y27" s="125"/>
      <c r="Z27" s="125"/>
    </row>
    <row r="28" spans="1:34" x14ac:dyDescent="0.25">
      <c r="A28" s="117" t="s">
        <v>5</v>
      </c>
      <c r="B28" s="104">
        <f>Calcs!B$16</f>
        <v>0.27829999999999999</v>
      </c>
      <c r="C28" s="118" t="s">
        <v>6</v>
      </c>
      <c r="G28" s="122"/>
      <c r="H28" s="122"/>
      <c r="I28" s="122"/>
      <c r="K28" s="125"/>
      <c r="L28" s="125"/>
      <c r="M28" s="125"/>
      <c r="N28" s="125"/>
      <c r="O28" s="125"/>
      <c r="P28" s="125"/>
      <c r="Q28" s="125"/>
      <c r="R28" s="125"/>
      <c r="S28" s="125"/>
      <c r="T28" s="125"/>
      <c r="U28" s="125"/>
      <c r="V28" s="125"/>
      <c r="W28" s="125"/>
      <c r="X28" s="125"/>
      <c r="Y28" s="125"/>
      <c r="Z28" s="125"/>
    </row>
    <row r="29" spans="1:34" ht="15.75" thickBot="1" x14ac:dyDescent="0.3">
      <c r="A29" s="119" t="s">
        <v>11</v>
      </c>
      <c r="B29" s="105">
        <f>Calcs!B$17</f>
        <v>17</v>
      </c>
      <c r="C29" s="120" t="s">
        <v>12</v>
      </c>
      <c r="G29" s="122"/>
      <c r="H29" s="150"/>
      <c r="I29" s="150"/>
      <c r="J29" s="150"/>
      <c r="K29" s="125"/>
      <c r="L29" s="125"/>
      <c r="M29" s="125"/>
      <c r="N29" s="125"/>
      <c r="O29" s="125"/>
      <c r="P29" s="125"/>
      <c r="Q29" s="125"/>
      <c r="R29" s="125"/>
      <c r="S29" s="125"/>
      <c r="T29" s="125"/>
      <c r="U29" s="125"/>
      <c r="V29" s="125"/>
      <c r="W29" s="125"/>
      <c r="X29" s="125"/>
      <c r="Y29" s="125"/>
      <c r="Z29" s="125"/>
    </row>
    <row r="30" spans="1:34" x14ac:dyDescent="0.25">
      <c r="H30" s="142"/>
      <c r="I30" s="144"/>
      <c r="J30" s="150"/>
      <c r="K30" s="125"/>
      <c r="L30" s="125"/>
      <c r="M30" s="125"/>
      <c r="N30" s="125"/>
      <c r="O30" s="125"/>
      <c r="P30" s="125"/>
      <c r="Q30" s="125"/>
      <c r="R30" s="125"/>
      <c r="S30" s="125"/>
      <c r="T30" s="125"/>
      <c r="U30" s="125"/>
      <c r="V30" s="125"/>
      <c r="W30" s="125"/>
      <c r="X30" s="125"/>
      <c r="Y30" s="125"/>
      <c r="Z30" s="125"/>
    </row>
    <row r="31" spans="1:34" x14ac:dyDescent="0.25">
      <c r="H31" s="142"/>
      <c r="I31" s="144"/>
      <c r="J31" s="150"/>
      <c r="K31" s="125"/>
      <c r="L31" s="125"/>
      <c r="M31" s="125"/>
      <c r="N31" s="125"/>
      <c r="O31" s="125"/>
      <c r="P31" s="125"/>
      <c r="Q31" s="125"/>
      <c r="R31" s="125"/>
      <c r="S31" s="125"/>
      <c r="T31" s="125"/>
      <c r="U31" s="125"/>
      <c r="V31" s="125"/>
      <c r="W31" s="125"/>
      <c r="X31" s="125"/>
      <c r="Y31" s="125"/>
      <c r="Z31" s="125"/>
    </row>
    <row r="32" spans="1:34" x14ac:dyDescent="0.25">
      <c r="H32" s="142"/>
      <c r="I32" s="142"/>
      <c r="J32" s="150"/>
      <c r="K32" s="125"/>
      <c r="L32" s="125"/>
      <c r="M32" s="125"/>
      <c r="N32" s="125"/>
      <c r="O32" s="125"/>
      <c r="P32" s="125"/>
      <c r="Q32" s="125"/>
      <c r="R32" s="125"/>
      <c r="S32" s="125"/>
      <c r="T32" s="125"/>
      <c r="U32" s="125"/>
      <c r="V32" s="125"/>
      <c r="W32" s="125"/>
      <c r="X32" s="125"/>
      <c r="Y32" s="125"/>
      <c r="Z32" s="125"/>
    </row>
    <row r="33" spans="10:26" x14ac:dyDescent="0.25">
      <c r="K33" s="125"/>
      <c r="L33" s="125"/>
      <c r="M33" s="125"/>
      <c r="N33" s="125"/>
      <c r="O33" s="125"/>
      <c r="P33" s="125"/>
      <c r="Q33" s="125"/>
    </row>
    <row r="34" spans="10:26" x14ac:dyDescent="0.25">
      <c r="K34" s="125"/>
      <c r="L34" s="125"/>
      <c r="M34" s="125"/>
      <c r="N34" s="125"/>
      <c r="O34" s="125"/>
      <c r="P34" s="125"/>
      <c r="Q34" s="125"/>
    </row>
    <row r="35" spans="10:26" x14ac:dyDescent="0.25">
      <c r="K35" s="125"/>
      <c r="L35" s="125"/>
      <c r="M35" s="125"/>
      <c r="N35" s="125"/>
      <c r="O35" s="125"/>
      <c r="P35" s="125"/>
      <c r="Q35" s="125"/>
    </row>
    <row r="36" spans="10:26" x14ac:dyDescent="0.25">
      <c r="K36" s="125"/>
      <c r="L36" s="125"/>
      <c r="M36" s="125"/>
      <c r="N36" s="125"/>
      <c r="O36" s="125"/>
      <c r="P36" s="125"/>
      <c r="Q36" s="125"/>
    </row>
    <row r="37" spans="10:26" x14ac:dyDescent="0.25">
      <c r="K37" s="125"/>
      <c r="L37" s="125"/>
      <c r="M37" s="125"/>
      <c r="N37" s="125"/>
      <c r="O37" s="125"/>
      <c r="P37" s="125"/>
      <c r="Q37" s="125"/>
    </row>
    <row r="38" spans="10:26" x14ac:dyDescent="0.25">
      <c r="K38" s="125"/>
      <c r="L38" s="125"/>
      <c r="M38" s="125"/>
      <c r="N38" s="125"/>
      <c r="O38" s="125"/>
      <c r="P38" s="125"/>
      <c r="Q38" s="125"/>
    </row>
    <row r="41" spans="10:26" ht="15.75" thickBot="1" x14ac:dyDescent="0.3">
      <c r="J41" s="150"/>
      <c r="K41" s="149"/>
      <c r="L41" s="149"/>
      <c r="M41" s="149"/>
      <c r="N41" s="149"/>
      <c r="O41" s="149"/>
      <c r="P41" s="149"/>
      <c r="Q41" s="149"/>
      <c r="S41" s="125"/>
      <c r="T41" s="125"/>
      <c r="U41" s="125"/>
      <c r="V41" s="125"/>
      <c r="W41" s="125"/>
      <c r="X41" s="125"/>
      <c r="Y41" s="125"/>
      <c r="Z41" s="125"/>
    </row>
    <row r="42" spans="10:26" x14ac:dyDescent="0.25">
      <c r="J42" s="150"/>
      <c r="K42" s="151"/>
      <c r="L42" s="151"/>
      <c r="M42" s="149"/>
      <c r="N42" s="149"/>
      <c r="O42" s="149"/>
      <c r="P42" s="149"/>
      <c r="Q42" s="149"/>
      <c r="S42" s="152" t="s">
        <v>173</v>
      </c>
      <c r="T42" s="153"/>
      <c r="U42" s="153"/>
      <c r="V42" s="153"/>
      <c r="W42" s="153"/>
      <c r="X42" s="153"/>
      <c r="Y42" s="154"/>
      <c r="Z42" s="125"/>
    </row>
    <row r="43" spans="10:26" x14ac:dyDescent="0.25">
      <c r="J43" s="150"/>
      <c r="K43" s="149"/>
      <c r="L43" s="149"/>
      <c r="M43" s="149"/>
      <c r="N43" s="149"/>
      <c r="O43" s="149"/>
      <c r="P43" s="149"/>
      <c r="Q43" s="149"/>
      <c r="S43" s="333" t="s">
        <v>208</v>
      </c>
      <c r="T43" s="334"/>
      <c r="U43" s="334"/>
      <c r="V43" s="334"/>
      <c r="W43" s="334"/>
      <c r="X43" s="334"/>
      <c r="Y43" s="335"/>
      <c r="Z43" s="125"/>
    </row>
    <row r="44" spans="10:26" x14ac:dyDescent="0.25">
      <c r="J44" s="150"/>
      <c r="K44" s="149"/>
      <c r="L44" s="149"/>
      <c r="M44" s="149"/>
      <c r="N44" s="149"/>
      <c r="O44" s="149"/>
      <c r="P44" s="149"/>
      <c r="Q44" s="149"/>
      <c r="S44" s="333"/>
      <c r="T44" s="334"/>
      <c r="U44" s="334"/>
      <c r="V44" s="334"/>
      <c r="W44" s="334"/>
      <c r="X44" s="334"/>
      <c r="Y44" s="335"/>
      <c r="Z44" s="125"/>
    </row>
    <row r="45" spans="10:26" x14ac:dyDescent="0.25">
      <c r="J45" s="150"/>
      <c r="K45" s="149"/>
      <c r="L45" s="149"/>
      <c r="M45" s="149"/>
      <c r="N45" s="149"/>
      <c r="O45" s="149"/>
      <c r="P45" s="149"/>
      <c r="Q45" s="149"/>
      <c r="S45" s="155"/>
      <c r="T45" s="156"/>
      <c r="U45" s="156"/>
      <c r="V45" s="156"/>
      <c r="W45" s="156"/>
      <c r="X45" s="156"/>
      <c r="Y45" s="157"/>
      <c r="Z45" s="125"/>
    </row>
    <row r="46" spans="10:26" ht="15" customHeight="1" thickBot="1" x14ac:dyDescent="0.3">
      <c r="J46" s="150"/>
      <c r="K46" s="151"/>
      <c r="L46" s="151"/>
      <c r="M46" s="149"/>
      <c r="N46" s="149"/>
      <c r="O46" s="149"/>
      <c r="P46" s="149"/>
      <c r="Q46" s="149"/>
      <c r="S46" s="158"/>
      <c r="T46" s="159"/>
      <c r="U46" s="159"/>
      <c r="V46" s="159"/>
      <c r="W46" s="159"/>
      <c r="X46" s="159"/>
      <c r="Y46" s="160"/>
    </row>
    <row r="47" spans="10:26" x14ac:dyDescent="0.25">
      <c r="J47" s="150"/>
      <c r="K47" s="149"/>
      <c r="L47" s="149"/>
      <c r="M47" s="149"/>
      <c r="N47" s="149"/>
      <c r="O47" s="149"/>
      <c r="P47" s="149"/>
      <c r="Q47" s="149"/>
      <c r="S47" s="125"/>
      <c r="T47" s="125"/>
      <c r="U47" s="125"/>
      <c r="V47" s="125"/>
      <c r="W47" s="125"/>
      <c r="X47" s="125"/>
      <c r="Y47" s="125"/>
    </row>
    <row r="48" spans="10:26" x14ac:dyDescent="0.25">
      <c r="J48" s="150"/>
      <c r="K48" s="149"/>
      <c r="L48" s="149"/>
      <c r="M48" s="149"/>
      <c r="N48" s="149"/>
      <c r="O48" s="149"/>
      <c r="P48" s="149"/>
      <c r="Q48" s="149"/>
    </row>
    <row r="49" spans="10:26" x14ac:dyDescent="0.25">
      <c r="J49" s="150"/>
      <c r="K49" s="149"/>
      <c r="L49" s="149"/>
      <c r="M49" s="149"/>
      <c r="N49" s="149"/>
      <c r="O49" s="149"/>
      <c r="P49" s="149"/>
      <c r="Q49" s="149"/>
    </row>
    <row r="50" spans="10:26" x14ac:dyDescent="0.25">
      <c r="J50" s="150"/>
      <c r="K50" s="150"/>
      <c r="L50" s="150"/>
      <c r="M50" s="150"/>
      <c r="N50" s="150"/>
      <c r="O50" s="150"/>
      <c r="P50" s="150"/>
      <c r="Q50" s="150"/>
    </row>
    <row r="52" spans="10:26" x14ac:dyDescent="0.25">
      <c r="Z52" s="125"/>
    </row>
    <row r="53" spans="10:26" x14ac:dyDescent="0.25">
      <c r="Z53" s="125"/>
    </row>
    <row r="54" spans="10:26" x14ac:dyDescent="0.25">
      <c r="S54" s="125"/>
      <c r="T54" s="125"/>
      <c r="U54" s="125"/>
      <c r="V54" s="125"/>
      <c r="W54" s="125"/>
      <c r="X54" s="125"/>
      <c r="Y54" s="125"/>
      <c r="Z54" s="125"/>
    </row>
    <row r="55" spans="10:26" x14ac:dyDescent="0.25">
      <c r="S55" s="174"/>
      <c r="T55" s="125"/>
      <c r="U55" s="125"/>
      <c r="V55" s="125"/>
      <c r="W55" s="125"/>
      <c r="X55" s="125"/>
      <c r="Y55" s="125"/>
    </row>
    <row r="56" spans="10:26" x14ac:dyDescent="0.25">
      <c r="S56" s="135"/>
      <c r="T56" s="125"/>
      <c r="U56" s="125"/>
      <c r="V56" s="125"/>
      <c r="W56" s="125"/>
      <c r="X56" s="125"/>
      <c r="Y56" s="125"/>
    </row>
  </sheetData>
  <sheetProtection algorithmName="SHA-512" hashValue="WPwoj4c4h9mRMxbDQ/bYI3BXN5F8YXWiJTlss5+NG7QLyRhzj+j0QSxJ5ZqmUvVnzB6xDdxnZa3lTNOb0VTXlQ==" saltValue="JirPBAreZb3QvTrrL2z1bw==" spinCount="100000" sheet="1" objects="1" scenarios="1"/>
  <mergeCells count="11">
    <mergeCell ref="S43:Y44"/>
    <mergeCell ref="A1:D1"/>
    <mergeCell ref="F1:I1"/>
    <mergeCell ref="A10:D10"/>
    <mergeCell ref="F3:F6"/>
    <mergeCell ref="F10:I10"/>
    <mergeCell ref="G3:H4"/>
    <mergeCell ref="I3:I4"/>
    <mergeCell ref="A3:A6"/>
    <mergeCell ref="B3:D3"/>
    <mergeCell ref="B4:C4"/>
  </mergeCells>
  <pageMargins left="0.7" right="0.7" top="0.75" bottom="0.75" header="0.3" footer="0.3"/>
  <pageSetup paperSize="17" scale="70" orientation="landscape"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1F9B-FACC-444A-836B-C8FE65B04DED}">
  <sheetPr>
    <pageSetUpPr fitToPage="1"/>
  </sheetPr>
  <dimension ref="A1:AB51"/>
  <sheetViews>
    <sheetView showGridLines="0" zoomScaleNormal="100" workbookViewId="0">
      <selection activeCell="I28" sqref="I28"/>
    </sheetView>
  </sheetViews>
  <sheetFormatPr defaultRowHeight="15" x14ac:dyDescent="0.25"/>
  <cols>
    <col min="1" max="1" width="16.28515625" style="129" customWidth="1"/>
    <col min="2" max="4" width="12.28515625" style="129" customWidth="1"/>
    <col min="5" max="5" width="2.85546875" style="129" customWidth="1"/>
    <col min="6" max="6" width="11.42578125" style="129" customWidth="1"/>
    <col min="7" max="9" width="12.28515625" style="129" customWidth="1"/>
    <col min="10" max="10" width="9.140625" style="125"/>
    <col min="11" max="29" width="10.5703125" style="125" customWidth="1"/>
    <col min="30" max="16384" width="9.140625" style="125"/>
  </cols>
  <sheetData>
    <row r="1" spans="1:28"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8" ht="15" customHeight="1" x14ac:dyDescent="0.25">
      <c r="A2" s="123"/>
      <c r="B2" s="123"/>
      <c r="C2" s="123"/>
      <c r="D2" s="123"/>
      <c r="E2" s="121"/>
      <c r="F2" s="123"/>
      <c r="G2" s="123"/>
      <c r="H2" s="123"/>
      <c r="I2" s="123"/>
    </row>
    <row r="3" spans="1:28" x14ac:dyDescent="0.25">
      <c r="A3" s="342" t="s">
        <v>82</v>
      </c>
      <c r="B3" s="351" t="s">
        <v>102</v>
      </c>
      <c r="C3" s="352"/>
      <c r="D3" s="353"/>
      <c r="E3" s="163"/>
      <c r="F3" s="342" t="s">
        <v>82</v>
      </c>
      <c r="G3" s="348" t="s">
        <v>196</v>
      </c>
      <c r="H3" s="348"/>
      <c r="I3" s="342" t="s">
        <v>75</v>
      </c>
      <c r="K3" s="122"/>
      <c r="AB3" s="122"/>
    </row>
    <row r="4" spans="1:28" x14ac:dyDescent="0.25">
      <c r="A4" s="343"/>
      <c r="B4" s="351" t="s">
        <v>83</v>
      </c>
      <c r="C4" s="353"/>
      <c r="D4" s="126" t="s">
        <v>74</v>
      </c>
      <c r="E4" s="163"/>
      <c r="F4" s="343"/>
      <c r="G4" s="348"/>
      <c r="H4" s="348"/>
      <c r="I4" s="344"/>
      <c r="K4" s="122"/>
      <c r="AB4" s="122"/>
    </row>
    <row r="5" spans="1:28" x14ac:dyDescent="0.25">
      <c r="A5" s="343"/>
      <c r="B5" s="126" t="s">
        <v>139</v>
      </c>
      <c r="C5" s="126" t="s">
        <v>96</v>
      </c>
      <c r="D5" s="126" t="s">
        <v>148</v>
      </c>
      <c r="E5" s="163"/>
      <c r="F5" s="343"/>
      <c r="G5" s="126" t="s">
        <v>95</v>
      </c>
      <c r="H5" s="126" t="s">
        <v>96</v>
      </c>
      <c r="I5" s="126" t="s">
        <v>97</v>
      </c>
      <c r="K5" s="122"/>
      <c r="AB5" s="122"/>
    </row>
    <row r="6" spans="1:28" ht="27.75" x14ac:dyDescent="0.25">
      <c r="A6" s="344"/>
      <c r="B6" s="126" t="s">
        <v>140</v>
      </c>
      <c r="C6" s="126" t="s">
        <v>84</v>
      </c>
      <c r="D6" s="126" t="s">
        <v>140</v>
      </c>
      <c r="E6" s="163"/>
      <c r="F6" s="344"/>
      <c r="G6" s="126" t="s">
        <v>98</v>
      </c>
      <c r="H6" s="126" t="s">
        <v>78</v>
      </c>
      <c r="I6" s="126" t="s">
        <v>78</v>
      </c>
      <c r="K6" s="122"/>
      <c r="AB6" s="122"/>
    </row>
    <row r="7" spans="1:28" ht="38.25" x14ac:dyDescent="0.25">
      <c r="A7" s="127" t="s">
        <v>149</v>
      </c>
      <c r="B7" s="167">
        <v>203</v>
      </c>
      <c r="C7" s="167">
        <v>207</v>
      </c>
      <c r="D7" s="167" t="s">
        <v>87</v>
      </c>
      <c r="E7" s="163"/>
      <c r="F7" s="127" t="s">
        <v>152</v>
      </c>
      <c r="G7" s="128">
        <v>183</v>
      </c>
      <c r="H7" s="128">
        <v>206</v>
      </c>
      <c r="I7" s="128">
        <v>150</v>
      </c>
      <c r="K7" s="122"/>
      <c r="AB7" s="122"/>
    </row>
    <row r="8" spans="1:28" ht="25.5" x14ac:dyDescent="0.25">
      <c r="B8" s="168"/>
      <c r="C8" s="169"/>
      <c r="D8" s="169"/>
      <c r="E8" s="163"/>
      <c r="F8" s="166" t="s">
        <v>153</v>
      </c>
      <c r="G8" s="167">
        <v>187</v>
      </c>
      <c r="H8" s="167">
        <v>206</v>
      </c>
      <c r="I8" s="167">
        <v>150</v>
      </c>
      <c r="K8" s="122"/>
      <c r="AB8" s="122"/>
    </row>
    <row r="9" spans="1:28" ht="15.75" thickBot="1" x14ac:dyDescent="0.3">
      <c r="A9" s="164"/>
      <c r="B9" s="165"/>
      <c r="C9" s="165"/>
      <c r="D9" s="165"/>
      <c r="E9" s="163"/>
      <c r="F9" s="168"/>
      <c r="G9" s="169"/>
      <c r="H9" s="169"/>
      <c r="I9" s="169"/>
      <c r="K9" s="122"/>
    </row>
    <row r="10" spans="1:28" ht="15.75" thickBot="1" x14ac:dyDescent="0.3">
      <c r="A10" s="339" t="s">
        <v>111</v>
      </c>
      <c r="B10" s="340"/>
      <c r="C10" s="340"/>
      <c r="D10" s="341"/>
      <c r="E10" s="163"/>
      <c r="F10" s="345" t="s">
        <v>111</v>
      </c>
      <c r="G10" s="346"/>
      <c r="H10" s="346"/>
      <c r="I10" s="347"/>
      <c r="K10" s="131"/>
    </row>
    <row r="11" spans="1:28" ht="37.5" customHeight="1" x14ac:dyDescent="0.25">
      <c r="A11" s="127" t="s">
        <v>149</v>
      </c>
      <c r="B11" s="162">
        <f>IF(Calcs!N52&gt;5000,"&gt; 5000",IF(Calcs!N52&lt;Calcs!$B$11/2,0,Calcs!N52))</f>
        <v>49.398642236295068</v>
      </c>
      <c r="C11" s="162">
        <f>IF(Calcs!T52&gt;5000,"&gt; 5000",IF(Calcs!T52&lt;Calcs!$B$11/2,0,Calcs!T52))</f>
        <v>96.951365755791258</v>
      </c>
      <c r="D11" s="162">
        <f>IF(Calcs!Q52&gt;5000,"&gt; 5000",IF(Calcs!Q52&lt;Calcs!$B$11/2,0,Calcs!Q52))</f>
        <v>1571.2114062533092</v>
      </c>
      <c r="F11" s="130" t="s">
        <v>152</v>
      </c>
      <c r="G11" s="106">
        <f>IF(Calcs!V52&gt;5000,"&gt; 5000",IF(Calcs!V52&lt;Calcs!$B$11/2,0,Calcs!V52))</f>
        <v>2423.8711361998121</v>
      </c>
      <c r="H11" s="106">
        <f>IF(Calcs!X52&gt;5000,"&gt; 5000",IF(Calcs!X52&lt;Calcs!$B$11/2,0,Calcs!X52))</f>
        <v>116.77179280627522</v>
      </c>
      <c r="I11" s="106" t="str">
        <f>IF(Calcs!Y52&gt;5000,"&gt; 5000",IF(Calcs!Y52&lt;Calcs!$B$11/2,0,Calcs!Y52))</f>
        <v>&gt; 5000</v>
      </c>
      <c r="K11" s="122"/>
      <c r="T11" s="122"/>
      <c r="U11" s="122"/>
      <c r="V11" s="122"/>
      <c r="W11" s="122"/>
      <c r="X11" s="122"/>
      <c r="Y11" s="122"/>
      <c r="Z11" s="122"/>
      <c r="AA11" s="122"/>
    </row>
    <row r="12" spans="1:28" ht="25.5" x14ac:dyDescent="0.25">
      <c r="F12" s="127" t="s">
        <v>153</v>
      </c>
      <c r="G12" s="106">
        <f>IF(Calcs!W52&gt;5000,"&gt; 5000",IF(Calcs!W52&lt;Calcs!$B$11/2,0,Calcs!W52))</f>
        <v>1340.661616166869</v>
      </c>
      <c r="H12" s="106">
        <f>IF(Calcs!X52&gt;5000,"&gt; 5000",IF(Calcs!X52&lt;Calcs!$B$11/2,0,Calcs!X52))</f>
        <v>116.77179280627522</v>
      </c>
      <c r="I12" s="106" t="str">
        <f>IF(Calcs!Y52&gt;5000,"&gt; 5000",IF(Calcs!Y52&lt;Calcs!$B$11/2,0,Calcs!Y52))</f>
        <v>&gt; 5000</v>
      </c>
      <c r="K12" s="122"/>
      <c r="T12" s="122"/>
      <c r="U12" s="122"/>
      <c r="V12" s="122"/>
      <c r="W12" s="122"/>
      <c r="X12" s="122"/>
      <c r="Y12" s="122"/>
      <c r="Z12" s="122"/>
      <c r="AA12" s="122"/>
    </row>
    <row r="13" spans="1:28" x14ac:dyDescent="0.25">
      <c r="K13" s="122"/>
      <c r="T13" s="122"/>
      <c r="U13" s="122"/>
      <c r="V13" s="122"/>
      <c r="W13" s="122"/>
      <c r="X13" s="122"/>
      <c r="Y13" s="122"/>
      <c r="Z13" s="122"/>
      <c r="AA13" s="122"/>
    </row>
    <row r="14" spans="1:28" x14ac:dyDescent="0.25">
      <c r="A14" s="132"/>
      <c r="B14" s="132"/>
      <c r="C14" s="132"/>
      <c r="D14" s="132"/>
      <c r="E14" s="132"/>
      <c r="F14" s="132"/>
      <c r="G14" s="132"/>
      <c r="H14" s="132"/>
      <c r="I14" s="132"/>
      <c r="K14" s="122"/>
      <c r="T14" s="122"/>
      <c r="U14" s="122"/>
      <c r="V14" s="122"/>
      <c r="W14" s="122"/>
      <c r="X14" s="122"/>
      <c r="Y14" s="122"/>
      <c r="Z14" s="122"/>
      <c r="AA14" s="122"/>
    </row>
    <row r="15" spans="1:28" x14ac:dyDescent="0.25">
      <c r="A15" s="173"/>
      <c r="B15" s="132">
        <v>203</v>
      </c>
      <c r="C15" s="132">
        <v>207</v>
      </c>
      <c r="D15" s="132">
        <v>186</v>
      </c>
      <c r="E15" s="132">
        <v>183</v>
      </c>
      <c r="F15" s="132">
        <v>187</v>
      </c>
      <c r="G15" s="132">
        <v>206</v>
      </c>
      <c r="H15" s="132">
        <v>150</v>
      </c>
      <c r="I15" s="132"/>
      <c r="K15" s="122"/>
      <c r="T15" s="122"/>
      <c r="U15" s="122"/>
      <c r="V15" s="122"/>
      <c r="W15" s="122"/>
      <c r="X15" s="122"/>
      <c r="Y15" s="122"/>
      <c r="Z15" s="122"/>
      <c r="AA15" s="122"/>
    </row>
    <row r="16" spans="1:28" x14ac:dyDescent="0.25">
      <c r="A16" s="132">
        <v>1</v>
      </c>
      <c r="B16" s="132">
        <v>203</v>
      </c>
      <c r="C16" s="132">
        <v>207</v>
      </c>
      <c r="D16" s="132">
        <v>186</v>
      </c>
      <c r="E16" s="132">
        <v>183</v>
      </c>
      <c r="F16" s="132">
        <v>187</v>
      </c>
      <c r="G16" s="132">
        <v>206</v>
      </c>
      <c r="H16" s="132">
        <v>150</v>
      </c>
      <c r="I16" s="132"/>
      <c r="K16" s="122"/>
      <c r="T16" s="122"/>
      <c r="U16" s="122"/>
      <c r="V16" s="122"/>
      <c r="W16" s="122"/>
      <c r="X16" s="122"/>
      <c r="Y16" s="122"/>
      <c r="Z16" s="122"/>
      <c r="AA16" s="122"/>
    </row>
    <row r="17" spans="1:28" x14ac:dyDescent="0.25">
      <c r="A17" s="132">
        <v>5000</v>
      </c>
      <c r="B17" s="132">
        <v>203</v>
      </c>
      <c r="C17" s="132">
        <v>207</v>
      </c>
      <c r="D17" s="132">
        <v>186</v>
      </c>
      <c r="E17" s="132">
        <v>183</v>
      </c>
      <c r="F17" s="132">
        <v>187</v>
      </c>
      <c r="G17" s="132">
        <v>206</v>
      </c>
      <c r="H17" s="132">
        <v>150</v>
      </c>
      <c r="I17" s="132"/>
      <c r="K17" s="122"/>
      <c r="T17" s="122"/>
      <c r="U17" s="122"/>
      <c r="V17" s="122"/>
      <c r="W17" s="122"/>
      <c r="X17" s="122"/>
      <c r="Y17" s="122"/>
      <c r="Z17" s="122"/>
      <c r="AA17" s="122"/>
      <c r="AB17" s="122"/>
    </row>
    <row r="18" spans="1:28" x14ac:dyDescent="0.25">
      <c r="A18" s="132"/>
      <c r="B18" s="132"/>
      <c r="C18" s="132"/>
      <c r="D18" s="132"/>
      <c r="E18" s="132"/>
      <c r="F18" s="173"/>
      <c r="G18" s="173"/>
      <c r="H18" s="173"/>
      <c r="I18" s="173"/>
      <c r="J18" s="149"/>
      <c r="K18" s="122"/>
      <c r="T18" s="135"/>
      <c r="AB18" s="122"/>
    </row>
    <row r="19" spans="1:28" ht="15.75" thickBot="1" x14ac:dyDescent="0.3">
      <c r="A19" s="137" t="s">
        <v>172</v>
      </c>
      <c r="B19" s="138"/>
      <c r="C19" s="138"/>
      <c r="F19" s="142"/>
      <c r="G19" s="175"/>
      <c r="H19" s="143"/>
      <c r="I19" s="143"/>
      <c r="J19" s="149"/>
      <c r="K19" s="122"/>
      <c r="L19" s="122"/>
      <c r="M19" s="122"/>
      <c r="N19" s="122"/>
      <c r="O19" s="122"/>
      <c r="P19" s="122"/>
      <c r="Q19" s="122"/>
      <c r="R19" s="122"/>
      <c r="S19" s="122"/>
      <c r="T19" s="122"/>
      <c r="U19" s="122"/>
      <c r="V19" s="122"/>
      <c r="W19" s="122"/>
      <c r="X19" s="122"/>
      <c r="Y19" s="122"/>
      <c r="Z19" s="122"/>
      <c r="AA19" s="122"/>
      <c r="AB19" s="122"/>
    </row>
    <row r="20" spans="1:28" ht="15.75" thickBot="1" x14ac:dyDescent="0.3">
      <c r="A20" s="139" t="s">
        <v>73</v>
      </c>
      <c r="B20" s="140" t="s">
        <v>72</v>
      </c>
      <c r="C20" s="141" t="s">
        <v>70</v>
      </c>
      <c r="F20" s="142"/>
      <c r="G20" s="144"/>
      <c r="H20" s="144"/>
      <c r="I20" s="144"/>
      <c r="J20" s="149"/>
      <c r="K20" s="122"/>
      <c r="L20" s="122"/>
      <c r="M20" s="122"/>
      <c r="N20" s="122"/>
      <c r="O20" s="122"/>
      <c r="P20" s="122"/>
      <c r="Q20" s="122"/>
      <c r="R20" s="122"/>
      <c r="S20" s="122"/>
      <c r="T20" s="122"/>
      <c r="U20" s="122"/>
      <c r="V20" s="122"/>
      <c r="W20" s="122"/>
      <c r="X20" s="122"/>
      <c r="Y20" s="122"/>
      <c r="Z20" s="122"/>
      <c r="AA20" s="122"/>
      <c r="AB20" s="122"/>
    </row>
    <row r="21" spans="1:28" x14ac:dyDescent="0.25">
      <c r="A21" s="107" t="s">
        <v>2</v>
      </c>
      <c r="B21" s="100">
        <f>Calcs!B$7</f>
        <v>29</v>
      </c>
      <c r="C21" s="108" t="s">
        <v>3</v>
      </c>
      <c r="F21" s="142"/>
      <c r="G21" s="144"/>
      <c r="H21" s="144"/>
      <c r="I21" s="144"/>
      <c r="J21" s="149"/>
      <c r="K21" s="122"/>
      <c r="L21" s="122"/>
      <c r="M21" s="122"/>
      <c r="N21" s="122"/>
      <c r="O21" s="122"/>
      <c r="P21" s="122"/>
      <c r="Q21" s="122"/>
      <c r="R21" s="122"/>
      <c r="S21" s="122"/>
      <c r="T21" s="122"/>
      <c r="U21" s="122"/>
      <c r="V21" s="122"/>
      <c r="W21" s="122"/>
      <c r="X21" s="122"/>
      <c r="Y21" s="122"/>
      <c r="Z21" s="122"/>
      <c r="AA21" s="122"/>
      <c r="AB21" s="122"/>
    </row>
    <row r="22" spans="1:28" ht="18" x14ac:dyDescent="0.25">
      <c r="A22" s="109" t="s">
        <v>106</v>
      </c>
      <c r="B22" s="101">
        <f>Calcs!B$8</f>
        <v>179</v>
      </c>
      <c r="C22" s="110" t="s">
        <v>10</v>
      </c>
      <c r="F22" s="142"/>
      <c r="G22" s="144"/>
      <c r="H22" s="144"/>
      <c r="I22" s="144"/>
      <c r="J22" s="149"/>
      <c r="K22" s="122"/>
      <c r="AB22" s="122"/>
    </row>
    <row r="23" spans="1:28" x14ac:dyDescent="0.25">
      <c r="A23" s="109" t="s">
        <v>16</v>
      </c>
      <c r="B23" s="101">
        <f>Calcs!B$9</f>
        <v>234</v>
      </c>
      <c r="C23" s="110" t="s">
        <v>9</v>
      </c>
      <c r="F23" s="142"/>
      <c r="G23" s="145"/>
      <c r="H23" s="145"/>
      <c r="I23" s="145"/>
      <c r="J23" s="149"/>
      <c r="K23" s="122"/>
      <c r="AB23" s="122"/>
    </row>
    <row r="24" spans="1:28" x14ac:dyDescent="0.25">
      <c r="A24" s="111" t="s">
        <v>108</v>
      </c>
      <c r="B24" s="101">
        <f>Calcs!B$10</f>
        <v>50</v>
      </c>
      <c r="C24" s="112" t="s">
        <v>165</v>
      </c>
      <c r="F24" s="142"/>
      <c r="G24" s="146"/>
      <c r="H24" s="146"/>
      <c r="I24" s="146"/>
      <c r="J24" s="149"/>
      <c r="K24" s="122"/>
      <c r="AB24" s="122"/>
    </row>
    <row r="25" spans="1:28" ht="15.75" thickBot="1" x14ac:dyDescent="0.3">
      <c r="A25" s="113" t="s">
        <v>91</v>
      </c>
      <c r="B25" s="102">
        <f>Calcs!B$11</f>
        <v>6</v>
      </c>
      <c r="C25" s="114" t="s">
        <v>9</v>
      </c>
      <c r="F25" s="142"/>
      <c r="G25" s="146"/>
      <c r="H25" s="146"/>
      <c r="I25" s="146"/>
      <c r="J25" s="149"/>
      <c r="K25" s="122"/>
      <c r="AB25" s="122"/>
    </row>
    <row r="26" spans="1:28" x14ac:dyDescent="0.25">
      <c r="A26" s="115" t="s">
        <v>0</v>
      </c>
      <c r="B26" s="103">
        <f>Calcs!B$13</f>
        <v>1500</v>
      </c>
      <c r="C26" s="116" t="s">
        <v>1</v>
      </c>
      <c r="F26" s="142"/>
      <c r="G26" s="146"/>
      <c r="H26" s="146"/>
      <c r="I26" s="146"/>
      <c r="J26" s="149"/>
      <c r="K26" s="122"/>
      <c r="AB26" s="122"/>
    </row>
    <row r="27" spans="1:28" ht="17.25" x14ac:dyDescent="0.25">
      <c r="A27" s="117" t="s">
        <v>22</v>
      </c>
      <c r="B27" s="104">
        <f>Calcs!B$14</f>
        <v>1029</v>
      </c>
      <c r="C27" s="118" t="s">
        <v>166</v>
      </c>
      <c r="F27" s="142"/>
      <c r="G27" s="146"/>
      <c r="H27" s="146"/>
      <c r="I27" s="146"/>
      <c r="J27" s="149"/>
      <c r="K27" s="122"/>
      <c r="AB27" s="122"/>
    </row>
    <row r="28" spans="1:28" x14ac:dyDescent="0.25">
      <c r="A28" s="117" t="s">
        <v>104</v>
      </c>
      <c r="B28" s="104">
        <f>Calcs!B$15</f>
        <v>1.5</v>
      </c>
      <c r="C28" s="118" t="s">
        <v>4</v>
      </c>
      <c r="F28" s="142"/>
      <c r="G28" s="146"/>
      <c r="H28" s="146"/>
      <c r="I28" s="146"/>
      <c r="J28" s="149"/>
      <c r="K28" s="122"/>
      <c r="AB28" s="122"/>
    </row>
    <row r="29" spans="1:28" x14ac:dyDescent="0.25">
      <c r="A29" s="117" t="s">
        <v>5</v>
      </c>
      <c r="B29" s="104">
        <f>Calcs!B$16</f>
        <v>0.27829999999999999</v>
      </c>
      <c r="C29" s="118" t="s">
        <v>6</v>
      </c>
      <c r="F29" s="142"/>
      <c r="G29" s="147"/>
      <c r="H29" s="148"/>
      <c r="I29" s="149"/>
      <c r="J29" s="149"/>
      <c r="K29" s="131"/>
      <c r="AB29" s="122"/>
    </row>
    <row r="30" spans="1:28" ht="15.75" thickBot="1" x14ac:dyDescent="0.3">
      <c r="A30" s="119" t="s">
        <v>11</v>
      </c>
      <c r="B30" s="105">
        <f>Calcs!B$17</f>
        <v>17</v>
      </c>
      <c r="C30" s="120" t="s">
        <v>12</v>
      </c>
      <c r="F30" s="142"/>
      <c r="G30" s="142"/>
      <c r="H30" s="142"/>
      <c r="I30" s="142"/>
      <c r="J30" s="149"/>
      <c r="K30" s="122"/>
      <c r="AB30" s="122"/>
    </row>
    <row r="31" spans="1:28" x14ac:dyDescent="0.25">
      <c r="K31" s="122"/>
      <c r="AB31" s="122"/>
    </row>
    <row r="32" spans="1:28" x14ac:dyDescent="0.25">
      <c r="K32" s="122"/>
      <c r="S32" s="122"/>
      <c r="T32" s="122"/>
      <c r="U32" s="122"/>
      <c r="V32" s="122"/>
      <c r="W32" s="122"/>
      <c r="X32" s="122"/>
      <c r="Y32" s="122"/>
      <c r="Z32" s="122"/>
      <c r="AA32" s="122"/>
      <c r="AB32" s="122"/>
    </row>
    <row r="33" spans="11:28" x14ac:dyDescent="0.25">
      <c r="K33" s="122"/>
      <c r="S33" s="122"/>
      <c r="T33" s="122"/>
      <c r="U33" s="122"/>
      <c r="V33" s="122"/>
      <c r="W33" s="122"/>
      <c r="X33" s="122"/>
      <c r="Y33" s="122"/>
      <c r="Z33" s="122"/>
      <c r="AA33" s="122"/>
      <c r="AB33" s="122"/>
    </row>
    <row r="34" spans="11:28" x14ac:dyDescent="0.25">
      <c r="K34" s="122"/>
      <c r="S34" s="122"/>
      <c r="T34" s="122"/>
      <c r="U34" s="122"/>
      <c r="V34" s="122"/>
      <c r="W34" s="122"/>
      <c r="X34" s="122"/>
      <c r="Y34" s="122"/>
      <c r="Z34" s="122"/>
      <c r="AA34" s="122"/>
      <c r="AB34" s="122"/>
    </row>
    <row r="35" spans="11:28" x14ac:dyDescent="0.25">
      <c r="K35" s="122"/>
      <c r="S35" s="122"/>
      <c r="T35" s="122"/>
      <c r="U35" s="122"/>
      <c r="V35" s="122"/>
      <c r="W35" s="122"/>
      <c r="X35" s="122"/>
      <c r="Y35" s="122"/>
      <c r="Z35" s="122"/>
      <c r="AA35" s="122"/>
      <c r="AB35" s="122"/>
    </row>
    <row r="36" spans="11:28" x14ac:dyDescent="0.25">
      <c r="K36" s="122"/>
      <c r="S36" s="122"/>
      <c r="T36" s="122"/>
      <c r="U36" s="122"/>
      <c r="V36" s="122"/>
      <c r="W36" s="122"/>
      <c r="X36" s="122"/>
      <c r="Y36" s="122"/>
      <c r="Z36" s="122"/>
      <c r="AA36" s="122"/>
      <c r="AB36" s="122"/>
    </row>
    <row r="37" spans="11:28" x14ac:dyDescent="0.25">
      <c r="K37" s="122"/>
      <c r="S37" s="122"/>
      <c r="T37" s="122"/>
      <c r="U37" s="122"/>
      <c r="V37" s="122"/>
      <c r="W37" s="122"/>
      <c r="X37" s="122"/>
      <c r="Y37" s="122"/>
      <c r="Z37" s="122"/>
      <c r="AA37" s="122"/>
      <c r="AB37" s="122"/>
    </row>
    <row r="38" spans="11:28" x14ac:dyDescent="0.25">
      <c r="K38" s="122"/>
      <c r="L38" s="122"/>
      <c r="M38" s="122"/>
      <c r="N38" s="122"/>
      <c r="O38" s="122"/>
      <c r="P38" s="122"/>
      <c r="Q38" s="122"/>
      <c r="R38" s="122"/>
      <c r="S38" s="122"/>
      <c r="T38" s="122"/>
      <c r="U38" s="122"/>
      <c r="V38" s="122"/>
      <c r="W38" s="122"/>
      <c r="X38" s="122"/>
      <c r="Y38" s="122"/>
      <c r="Z38" s="122"/>
      <c r="AA38" s="122"/>
      <c r="AB38" s="122"/>
    </row>
    <row r="39" spans="11:28" x14ac:dyDescent="0.25">
      <c r="K39" s="122"/>
      <c r="L39" s="122"/>
      <c r="M39" s="122"/>
      <c r="N39" s="122"/>
      <c r="O39" s="122"/>
      <c r="P39" s="122"/>
      <c r="Q39" s="122"/>
      <c r="R39" s="122"/>
      <c r="S39" s="122"/>
      <c r="T39" s="122"/>
      <c r="U39" s="122"/>
      <c r="V39" s="122"/>
      <c r="W39" s="122"/>
      <c r="X39" s="122"/>
      <c r="Y39" s="122"/>
      <c r="Z39" s="122"/>
      <c r="AA39" s="122"/>
      <c r="AB39" s="122"/>
    </row>
    <row r="40" spans="11:28" x14ac:dyDescent="0.25">
      <c r="K40" s="122"/>
      <c r="L40" s="122"/>
      <c r="M40" s="122"/>
      <c r="N40" s="122"/>
      <c r="O40" s="122"/>
      <c r="P40" s="122"/>
      <c r="Q40" s="122"/>
      <c r="R40" s="122"/>
      <c r="S40" s="122"/>
      <c r="T40" s="122"/>
      <c r="U40" s="122"/>
      <c r="V40" s="122"/>
      <c r="W40" s="122"/>
      <c r="X40" s="122"/>
      <c r="Y40" s="122"/>
      <c r="Z40" s="122"/>
      <c r="AA40" s="122"/>
      <c r="AB40" s="122"/>
    </row>
    <row r="41" spans="11:28" ht="15.75" thickBot="1" x14ac:dyDescent="0.3">
      <c r="K41" s="122"/>
      <c r="S41" s="122"/>
      <c r="AB41" s="122"/>
    </row>
    <row r="42" spans="11:28" x14ac:dyDescent="0.25">
      <c r="K42" s="150"/>
      <c r="L42" s="151"/>
      <c r="M42" s="151"/>
      <c r="N42" s="149"/>
      <c r="O42" s="149"/>
      <c r="P42" s="149"/>
      <c r="Q42" s="149"/>
      <c r="R42" s="149"/>
      <c r="S42" s="122"/>
      <c r="T42" s="152" t="s">
        <v>173</v>
      </c>
      <c r="U42" s="153"/>
      <c r="V42" s="153"/>
      <c r="W42" s="153"/>
      <c r="X42" s="153"/>
      <c r="Y42" s="153"/>
      <c r="Z42" s="154"/>
      <c r="AB42" s="122"/>
    </row>
    <row r="43" spans="11:28" x14ac:dyDescent="0.25">
      <c r="K43" s="150"/>
      <c r="L43" s="149"/>
      <c r="M43" s="149"/>
      <c r="N43" s="149"/>
      <c r="O43" s="149"/>
      <c r="P43" s="149"/>
      <c r="Q43" s="149"/>
      <c r="R43" s="149"/>
      <c r="S43" s="122"/>
      <c r="T43" s="333" t="s">
        <v>208</v>
      </c>
      <c r="U43" s="334"/>
      <c r="V43" s="334"/>
      <c r="W43" s="334"/>
      <c r="X43" s="334"/>
      <c r="Y43" s="334"/>
      <c r="Z43" s="335"/>
      <c r="AB43" s="122"/>
    </row>
    <row r="44" spans="11:28" x14ac:dyDescent="0.25">
      <c r="K44" s="150"/>
      <c r="L44" s="149"/>
      <c r="M44" s="149"/>
      <c r="N44" s="149"/>
      <c r="O44" s="149"/>
      <c r="P44" s="149"/>
      <c r="Q44" s="149"/>
      <c r="R44" s="149"/>
      <c r="S44" s="122"/>
      <c r="T44" s="333"/>
      <c r="U44" s="334"/>
      <c r="V44" s="334"/>
      <c r="W44" s="334"/>
      <c r="X44" s="334"/>
      <c r="Y44" s="334"/>
      <c r="Z44" s="335"/>
      <c r="AB44" s="122"/>
    </row>
    <row r="45" spans="11:28" x14ac:dyDescent="0.25">
      <c r="K45" s="150"/>
      <c r="L45" s="149"/>
      <c r="M45" s="149"/>
      <c r="N45" s="149"/>
      <c r="O45" s="149"/>
      <c r="P45" s="149"/>
      <c r="Q45" s="149"/>
      <c r="R45" s="149"/>
      <c r="S45" s="122"/>
      <c r="T45" s="155"/>
      <c r="U45" s="156"/>
      <c r="V45" s="156"/>
      <c r="W45" s="156"/>
      <c r="X45" s="156"/>
      <c r="Y45" s="156"/>
      <c r="Z45" s="157"/>
      <c r="AB45" s="122"/>
    </row>
    <row r="46" spans="11:28" ht="15.75" thickBot="1" x14ac:dyDescent="0.3">
      <c r="K46" s="150"/>
      <c r="L46" s="151"/>
      <c r="M46" s="151"/>
      <c r="N46" s="149"/>
      <c r="O46" s="149"/>
      <c r="P46" s="149"/>
      <c r="Q46" s="149"/>
      <c r="R46" s="149"/>
      <c r="S46" s="122"/>
      <c r="T46" s="158"/>
      <c r="U46" s="159"/>
      <c r="V46" s="159"/>
      <c r="W46" s="159"/>
      <c r="X46" s="159"/>
      <c r="Y46" s="159"/>
      <c r="Z46" s="160"/>
      <c r="AA46" s="122"/>
      <c r="AB46" s="122"/>
    </row>
    <row r="47" spans="11:28" x14ac:dyDescent="0.25">
      <c r="K47" s="150"/>
      <c r="L47" s="149"/>
      <c r="M47" s="149"/>
      <c r="N47" s="149"/>
      <c r="O47" s="149"/>
      <c r="P47" s="149"/>
      <c r="Q47" s="149"/>
      <c r="R47" s="149"/>
      <c r="S47" s="122"/>
      <c r="T47" s="122"/>
      <c r="U47" s="122"/>
      <c r="V47" s="122"/>
      <c r="W47" s="122"/>
      <c r="X47" s="122"/>
      <c r="Y47" s="122"/>
      <c r="Z47" s="122"/>
      <c r="AA47" s="122"/>
      <c r="AB47" s="122"/>
    </row>
    <row r="48" spans="11:28" x14ac:dyDescent="0.25">
      <c r="K48" s="150"/>
      <c r="L48" s="149"/>
      <c r="M48" s="149"/>
      <c r="N48" s="149"/>
      <c r="O48" s="149"/>
      <c r="P48" s="149"/>
      <c r="Q48" s="149"/>
      <c r="R48" s="149"/>
      <c r="S48" s="122"/>
      <c r="T48" s="122"/>
      <c r="U48" s="122"/>
      <c r="V48" s="122"/>
      <c r="W48" s="122"/>
      <c r="X48" s="122"/>
      <c r="Y48" s="122"/>
      <c r="Z48" s="122"/>
      <c r="AA48" s="122"/>
      <c r="AB48" s="122"/>
    </row>
    <row r="49" spans="11:28" x14ac:dyDescent="0.25">
      <c r="K49" s="150"/>
      <c r="L49" s="149"/>
      <c r="M49" s="149"/>
      <c r="N49" s="149"/>
      <c r="O49" s="149"/>
      <c r="P49" s="149"/>
      <c r="Q49" s="149"/>
      <c r="R49" s="149"/>
      <c r="S49" s="122"/>
      <c r="T49" s="122"/>
      <c r="U49" s="122"/>
      <c r="V49" s="122"/>
      <c r="W49" s="122"/>
      <c r="X49" s="122"/>
      <c r="Y49" s="122"/>
      <c r="Z49" s="122"/>
      <c r="AA49" s="122"/>
      <c r="AB49" s="122"/>
    </row>
    <row r="50" spans="11:28" x14ac:dyDescent="0.25">
      <c r="K50" s="150"/>
      <c r="L50" s="150"/>
      <c r="M50" s="150"/>
      <c r="N50" s="150"/>
      <c r="O50" s="150"/>
      <c r="P50" s="150"/>
      <c r="Q50" s="150"/>
      <c r="R50" s="150"/>
      <c r="S50" s="122"/>
      <c r="T50" s="122"/>
      <c r="U50" s="122"/>
      <c r="V50" s="122"/>
      <c r="W50" s="122"/>
      <c r="X50" s="122"/>
      <c r="Y50" s="122"/>
      <c r="Z50" s="122"/>
      <c r="AA50" s="122"/>
      <c r="AB50" s="122"/>
    </row>
    <row r="51" spans="11:28" x14ac:dyDescent="0.25">
      <c r="K51" s="149"/>
      <c r="L51" s="149"/>
      <c r="M51" s="149"/>
      <c r="N51" s="149"/>
      <c r="O51" s="149"/>
      <c r="P51" s="149"/>
      <c r="Q51" s="149"/>
      <c r="R51" s="149"/>
    </row>
  </sheetData>
  <sheetProtection algorithmName="SHA-512" hashValue="diynByZcMwwbGjPsD1kMUerw7lQJBFLmzRhci9W7CNOS2/7vZ8dF9nqlh82FE1bGKlfdvMhnwVDggWL8Kny/vg==" saltValue="rwa89ag2wPkfMjMbh80Onw==" spinCount="100000" sheet="1" objects="1" scenarios="1"/>
  <mergeCells count="11">
    <mergeCell ref="T43:Z44"/>
    <mergeCell ref="A1:D1"/>
    <mergeCell ref="F1:I1"/>
    <mergeCell ref="A10:D10"/>
    <mergeCell ref="F10:I10"/>
    <mergeCell ref="A3:A6"/>
    <mergeCell ref="B3:D3"/>
    <mergeCell ref="F3:F6"/>
    <mergeCell ref="G3:H4"/>
    <mergeCell ref="I3:I4"/>
    <mergeCell ref="B4:C4"/>
  </mergeCells>
  <pageMargins left="0.7" right="0.7" top="0.75" bottom="0.75" header="0.3" footer="0.3"/>
  <pageSetup paperSize="17" scale="67" orientation="landscape"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EE8ED-2FC1-4B9D-9960-EADE4D1191D0}">
  <sheetPr>
    <pageSetUpPr fitToPage="1"/>
  </sheetPr>
  <dimension ref="A1:AB51"/>
  <sheetViews>
    <sheetView showGridLines="0" zoomScaleNormal="100" workbookViewId="0">
      <selection activeCell="I28" sqref="I28"/>
    </sheetView>
  </sheetViews>
  <sheetFormatPr defaultRowHeight="15" x14ac:dyDescent="0.25"/>
  <cols>
    <col min="1" max="1" width="16.28515625" style="129" customWidth="1"/>
    <col min="2" max="4" width="12.28515625" style="129" customWidth="1"/>
    <col min="5" max="5" width="2.85546875" style="129" customWidth="1"/>
    <col min="6" max="6" width="11.42578125" style="129" customWidth="1"/>
    <col min="7" max="9" width="12.28515625" style="129" customWidth="1"/>
    <col min="10" max="10" width="9.140625" style="125"/>
    <col min="11" max="29" width="10.5703125" style="125" customWidth="1"/>
    <col min="30" max="16384" width="9.140625" style="125"/>
  </cols>
  <sheetData>
    <row r="1" spans="1:28"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8" ht="15" customHeight="1" x14ac:dyDescent="0.25">
      <c r="A2" s="123"/>
      <c r="B2" s="123"/>
      <c r="C2" s="123"/>
      <c r="D2" s="123"/>
      <c r="E2" s="121"/>
      <c r="F2" s="123"/>
      <c r="G2" s="123"/>
      <c r="H2" s="123"/>
      <c r="I2" s="123"/>
    </row>
    <row r="3" spans="1:28" x14ac:dyDescent="0.25">
      <c r="A3" s="342" t="s">
        <v>82</v>
      </c>
      <c r="B3" s="351" t="s">
        <v>102</v>
      </c>
      <c r="C3" s="352"/>
      <c r="D3" s="353"/>
      <c r="E3" s="163"/>
      <c r="F3" s="342" t="s">
        <v>82</v>
      </c>
      <c r="G3" s="348" t="s">
        <v>196</v>
      </c>
      <c r="H3" s="348"/>
      <c r="I3" s="342" t="s">
        <v>75</v>
      </c>
      <c r="K3" s="122"/>
      <c r="AB3" s="122"/>
    </row>
    <row r="4" spans="1:28" x14ac:dyDescent="0.25">
      <c r="A4" s="343"/>
      <c r="B4" s="351" t="s">
        <v>83</v>
      </c>
      <c r="C4" s="353"/>
      <c r="D4" s="126" t="s">
        <v>74</v>
      </c>
      <c r="E4" s="163"/>
      <c r="F4" s="343"/>
      <c r="G4" s="348"/>
      <c r="H4" s="348"/>
      <c r="I4" s="344"/>
      <c r="K4" s="122"/>
      <c r="AB4" s="122"/>
    </row>
    <row r="5" spans="1:28" x14ac:dyDescent="0.25">
      <c r="A5" s="343"/>
      <c r="B5" s="126" t="s">
        <v>139</v>
      </c>
      <c r="C5" s="126" t="s">
        <v>96</v>
      </c>
      <c r="D5" s="126" t="s">
        <v>148</v>
      </c>
      <c r="E5" s="163"/>
      <c r="F5" s="343"/>
      <c r="G5" s="126" t="s">
        <v>95</v>
      </c>
      <c r="H5" s="126" t="s">
        <v>96</v>
      </c>
      <c r="I5" s="126" t="s">
        <v>97</v>
      </c>
      <c r="K5" s="122"/>
      <c r="AB5" s="122"/>
    </row>
    <row r="6" spans="1:28" ht="27.75" x14ac:dyDescent="0.25">
      <c r="A6" s="344"/>
      <c r="B6" s="126" t="s">
        <v>140</v>
      </c>
      <c r="C6" s="126" t="s">
        <v>84</v>
      </c>
      <c r="D6" s="126" t="s">
        <v>140</v>
      </c>
      <c r="E6" s="163"/>
      <c r="F6" s="344"/>
      <c r="G6" s="126" t="s">
        <v>98</v>
      </c>
      <c r="H6" s="126" t="s">
        <v>78</v>
      </c>
      <c r="I6" s="126" t="s">
        <v>78</v>
      </c>
      <c r="K6" s="122"/>
      <c r="AB6" s="122"/>
    </row>
    <row r="7" spans="1:28" ht="38.25" x14ac:dyDescent="0.25">
      <c r="A7" s="166" t="s">
        <v>150</v>
      </c>
      <c r="B7" s="167">
        <v>203</v>
      </c>
      <c r="C7" s="167">
        <v>207</v>
      </c>
      <c r="D7" s="167">
        <v>186</v>
      </c>
      <c r="E7" s="163"/>
      <c r="F7" s="127" t="s">
        <v>152</v>
      </c>
      <c r="G7" s="128">
        <v>183</v>
      </c>
      <c r="H7" s="128">
        <v>206</v>
      </c>
      <c r="I7" s="128">
        <v>150</v>
      </c>
      <c r="K7" s="122"/>
      <c r="AB7" s="122"/>
    </row>
    <row r="8" spans="1:28" ht="25.5" x14ac:dyDescent="0.25">
      <c r="A8" s="168"/>
      <c r="B8" s="169"/>
      <c r="C8" s="169"/>
      <c r="D8" s="169"/>
      <c r="E8" s="163"/>
      <c r="F8" s="166" t="s">
        <v>153</v>
      </c>
      <c r="G8" s="167">
        <v>187</v>
      </c>
      <c r="H8" s="167">
        <v>206</v>
      </c>
      <c r="I8" s="167">
        <v>150</v>
      </c>
      <c r="K8" s="122"/>
      <c r="AB8" s="122"/>
    </row>
    <row r="9" spans="1:28" ht="15.75" thickBot="1" x14ac:dyDescent="0.3">
      <c r="E9" s="163"/>
      <c r="F9" s="168"/>
      <c r="G9" s="169"/>
      <c r="H9" s="169"/>
      <c r="I9" s="169"/>
      <c r="K9" s="122"/>
    </row>
    <row r="10" spans="1:28" ht="15.75" thickBot="1" x14ac:dyDescent="0.3">
      <c r="A10" s="339" t="s">
        <v>111</v>
      </c>
      <c r="B10" s="340"/>
      <c r="C10" s="340"/>
      <c r="D10" s="341"/>
      <c r="E10" s="163"/>
      <c r="F10" s="345" t="s">
        <v>111</v>
      </c>
      <c r="G10" s="346"/>
      <c r="H10" s="346"/>
      <c r="I10" s="347"/>
      <c r="K10" s="131"/>
    </row>
    <row r="11" spans="1:28" ht="36.75" customHeight="1" x14ac:dyDescent="0.25">
      <c r="A11" s="127" t="s">
        <v>150</v>
      </c>
      <c r="B11" s="162">
        <f>IF(Calcs!O52&gt;5000,"&gt; 5000",IF(Calcs!O52&lt;Calcs!$B$11/2,0,Calcs!O52))</f>
        <v>49.398642236295068</v>
      </c>
      <c r="C11" s="162">
        <f>IF(Calcs!U52&gt;5000,"&gt; 5000",IF(Calcs!U52&lt;Calcs!$B$11/2,0,Calcs!U52))</f>
        <v>96.951365755791258</v>
      </c>
      <c r="D11" s="162">
        <f>IF(Calcs!R52&gt;5000,"&gt; 5000",IF(Calcs!R52&lt;Calcs!$B$11/2,0,Calcs!R52))</f>
        <v>1571.2114062533092</v>
      </c>
      <c r="F11" s="130" t="s">
        <v>152</v>
      </c>
      <c r="G11" s="106">
        <f>IF(Calcs!V52&gt;5000,"&gt; 5000",IF(Calcs!V52&lt;Calcs!$B$11/2,0,Calcs!V52))</f>
        <v>2423.8711361998121</v>
      </c>
      <c r="H11" s="106">
        <f>IF(Calcs!X52&gt;5000,"&gt; 5000",IF(Calcs!X52&lt;Calcs!$B$11/2,0,Calcs!X52))</f>
        <v>116.77179280627522</v>
      </c>
      <c r="I11" s="106" t="str">
        <f>IF(Calcs!Y52&gt;5000,"&gt; 5000",IF(Calcs!Y52&lt;Calcs!$B$11/2,0,Calcs!Y52))</f>
        <v>&gt; 5000</v>
      </c>
      <c r="K11" s="122"/>
      <c r="T11" s="122"/>
      <c r="U11" s="122"/>
      <c r="V11" s="122"/>
      <c r="W11" s="122"/>
      <c r="X11" s="122"/>
      <c r="Y11" s="122"/>
      <c r="Z11" s="122"/>
      <c r="AA11" s="122"/>
    </row>
    <row r="12" spans="1:28" ht="25.5" x14ac:dyDescent="0.25">
      <c r="F12" s="127" t="s">
        <v>153</v>
      </c>
      <c r="G12" s="106">
        <f>IF(Calcs!W52&gt;5000,"&gt; 5000",IF(Calcs!W52&lt;Calcs!$B$11/2,0,Calcs!W52))</f>
        <v>1340.661616166869</v>
      </c>
      <c r="H12" s="106">
        <f>IF(Calcs!X52&gt;5000,"&gt; 5000",IF(Calcs!X52&lt;Calcs!$B$11/2,0,Calcs!X52))</f>
        <v>116.77179280627522</v>
      </c>
      <c r="I12" s="106" t="str">
        <f>IF(Calcs!Y52&gt;5000,"&gt; 5000",IF(Calcs!Y52&lt;Calcs!$B$11/2,0,Calcs!Y52))</f>
        <v>&gt; 5000</v>
      </c>
      <c r="K12" s="122"/>
      <c r="T12" s="122"/>
      <c r="U12" s="122"/>
      <c r="V12" s="122"/>
      <c r="W12" s="122"/>
      <c r="X12" s="122"/>
      <c r="Y12" s="122"/>
      <c r="Z12" s="122"/>
      <c r="AA12" s="122"/>
    </row>
    <row r="13" spans="1:28" x14ac:dyDescent="0.25">
      <c r="K13" s="122"/>
      <c r="T13" s="122"/>
      <c r="U13" s="122"/>
      <c r="V13" s="122"/>
      <c r="W13" s="122"/>
      <c r="X13" s="122"/>
      <c r="Y13" s="122"/>
      <c r="Z13" s="122"/>
      <c r="AA13" s="122"/>
    </row>
    <row r="14" spans="1:28" x14ac:dyDescent="0.25">
      <c r="A14" s="132"/>
      <c r="B14" s="132"/>
      <c r="C14" s="132"/>
      <c r="D14" s="132"/>
      <c r="E14" s="132"/>
      <c r="F14" s="132"/>
      <c r="G14" s="132"/>
      <c r="H14" s="132"/>
      <c r="I14" s="132"/>
      <c r="K14" s="122"/>
      <c r="T14" s="122"/>
      <c r="U14" s="122"/>
      <c r="V14" s="122"/>
      <c r="W14" s="122"/>
      <c r="X14" s="122"/>
      <c r="Y14" s="122"/>
      <c r="Z14" s="122"/>
      <c r="AA14" s="122"/>
    </row>
    <row r="15" spans="1:28" x14ac:dyDescent="0.25">
      <c r="A15" s="173"/>
      <c r="B15" s="132">
        <v>203</v>
      </c>
      <c r="C15" s="132">
        <v>207</v>
      </c>
      <c r="D15" s="132">
        <v>186</v>
      </c>
      <c r="E15" s="132">
        <v>183</v>
      </c>
      <c r="F15" s="132">
        <v>187</v>
      </c>
      <c r="G15" s="132">
        <v>206</v>
      </c>
      <c r="H15" s="132">
        <v>150</v>
      </c>
      <c r="I15" s="132"/>
      <c r="K15" s="122"/>
      <c r="T15" s="122"/>
      <c r="U15" s="122"/>
      <c r="V15" s="122"/>
      <c r="W15" s="122"/>
      <c r="X15" s="122"/>
      <c r="Y15" s="122"/>
      <c r="Z15" s="122"/>
      <c r="AA15" s="122"/>
    </row>
    <row r="16" spans="1:28" x14ac:dyDescent="0.25">
      <c r="A16" s="132">
        <v>1</v>
      </c>
      <c r="B16" s="132">
        <v>203</v>
      </c>
      <c r="C16" s="132">
        <v>207</v>
      </c>
      <c r="D16" s="132">
        <v>186</v>
      </c>
      <c r="E16" s="132">
        <v>183</v>
      </c>
      <c r="F16" s="132">
        <v>187</v>
      </c>
      <c r="G16" s="132">
        <v>206</v>
      </c>
      <c r="H16" s="132">
        <v>150</v>
      </c>
      <c r="I16" s="132"/>
      <c r="K16" s="122"/>
      <c r="T16" s="122"/>
      <c r="U16" s="122"/>
      <c r="V16" s="122"/>
      <c r="W16" s="122"/>
      <c r="X16" s="122"/>
      <c r="Y16" s="122"/>
      <c r="Z16" s="122"/>
      <c r="AA16" s="122"/>
    </row>
    <row r="17" spans="1:28" x14ac:dyDescent="0.25">
      <c r="A17" s="132">
        <v>5000</v>
      </c>
      <c r="B17" s="132">
        <v>203</v>
      </c>
      <c r="C17" s="132">
        <v>207</v>
      </c>
      <c r="D17" s="132">
        <v>186</v>
      </c>
      <c r="E17" s="132">
        <v>183</v>
      </c>
      <c r="F17" s="132">
        <v>187</v>
      </c>
      <c r="G17" s="132">
        <v>206</v>
      </c>
      <c r="H17" s="132">
        <v>150</v>
      </c>
      <c r="I17" s="132"/>
      <c r="K17" s="122"/>
      <c r="T17" s="122"/>
      <c r="U17" s="122"/>
      <c r="V17" s="122"/>
      <c r="W17" s="122"/>
      <c r="X17" s="122"/>
      <c r="Y17" s="122"/>
      <c r="Z17" s="122"/>
      <c r="AA17" s="122"/>
      <c r="AB17" s="122"/>
    </row>
    <row r="18" spans="1:28" x14ac:dyDescent="0.25">
      <c r="A18" s="132"/>
      <c r="B18" s="132"/>
      <c r="C18" s="132"/>
      <c r="D18" s="132"/>
      <c r="E18" s="132"/>
      <c r="F18" s="173"/>
      <c r="G18" s="173"/>
      <c r="H18" s="173"/>
      <c r="I18" s="173"/>
      <c r="K18" s="122"/>
      <c r="T18" s="135"/>
      <c r="AB18" s="122"/>
    </row>
    <row r="19" spans="1:28" ht="15.75" thickBot="1" x14ac:dyDescent="0.3">
      <c r="A19" s="137" t="s">
        <v>172</v>
      </c>
      <c r="B19" s="138"/>
      <c r="C19" s="138"/>
      <c r="F19" s="142"/>
      <c r="G19" s="175"/>
      <c r="H19" s="143"/>
      <c r="I19" s="143"/>
      <c r="K19" s="122"/>
      <c r="L19" s="122"/>
      <c r="M19" s="122"/>
      <c r="N19" s="122"/>
      <c r="O19" s="122"/>
      <c r="P19" s="122"/>
      <c r="Q19" s="122"/>
      <c r="R19" s="122"/>
      <c r="S19" s="122"/>
      <c r="T19" s="122"/>
      <c r="U19" s="122"/>
      <c r="V19" s="122"/>
      <c r="W19" s="122"/>
      <c r="X19" s="122"/>
      <c r="Y19" s="122"/>
      <c r="Z19" s="122"/>
      <c r="AA19" s="122"/>
      <c r="AB19" s="122"/>
    </row>
    <row r="20" spans="1:28" ht="15.75" thickBot="1" x14ac:dyDescent="0.3">
      <c r="A20" s="139" t="s">
        <v>73</v>
      </c>
      <c r="B20" s="140" t="s">
        <v>72</v>
      </c>
      <c r="C20" s="141" t="s">
        <v>70</v>
      </c>
      <c r="F20" s="142"/>
      <c r="G20" s="144"/>
      <c r="H20" s="144"/>
      <c r="I20" s="144"/>
      <c r="K20" s="122"/>
      <c r="L20" s="122"/>
      <c r="M20" s="122"/>
      <c r="N20" s="122"/>
      <c r="O20" s="122"/>
      <c r="P20" s="122"/>
      <c r="Q20" s="122"/>
      <c r="R20" s="122"/>
      <c r="S20" s="122"/>
      <c r="T20" s="122"/>
      <c r="U20" s="122"/>
      <c r="V20" s="122"/>
      <c r="W20" s="122"/>
      <c r="X20" s="122"/>
      <c r="Y20" s="122"/>
      <c r="Z20" s="122"/>
      <c r="AA20" s="122"/>
      <c r="AB20" s="122"/>
    </row>
    <row r="21" spans="1:28" x14ac:dyDescent="0.25">
      <c r="A21" s="107" t="s">
        <v>2</v>
      </c>
      <c r="B21" s="100">
        <f>Calcs!B$7</f>
        <v>29</v>
      </c>
      <c r="C21" s="108" t="s">
        <v>3</v>
      </c>
      <c r="F21" s="142"/>
      <c r="G21" s="144"/>
      <c r="H21" s="144"/>
      <c r="I21" s="144"/>
      <c r="K21" s="122"/>
      <c r="L21" s="122"/>
      <c r="M21" s="122"/>
      <c r="N21" s="122"/>
      <c r="O21" s="122"/>
      <c r="P21" s="122"/>
      <c r="Q21" s="122"/>
      <c r="R21" s="122"/>
      <c r="S21" s="122"/>
      <c r="T21" s="122"/>
      <c r="U21" s="122"/>
      <c r="V21" s="122"/>
      <c r="W21" s="122"/>
      <c r="X21" s="122"/>
      <c r="Y21" s="122"/>
      <c r="Z21" s="122"/>
      <c r="AA21" s="122"/>
      <c r="AB21" s="122"/>
    </row>
    <row r="22" spans="1:28" ht="18" x14ac:dyDescent="0.25">
      <c r="A22" s="109" t="s">
        <v>106</v>
      </c>
      <c r="B22" s="101">
        <f>Calcs!B$8</f>
        <v>179</v>
      </c>
      <c r="C22" s="110" t="s">
        <v>10</v>
      </c>
      <c r="F22" s="142"/>
      <c r="G22" s="144"/>
      <c r="H22" s="144"/>
      <c r="I22" s="144"/>
      <c r="K22" s="122"/>
      <c r="AB22" s="122"/>
    </row>
    <row r="23" spans="1:28" x14ac:dyDescent="0.25">
      <c r="A23" s="109" t="s">
        <v>16</v>
      </c>
      <c r="B23" s="101">
        <f>Calcs!B$9</f>
        <v>234</v>
      </c>
      <c r="C23" s="110" t="s">
        <v>9</v>
      </c>
      <c r="F23" s="142"/>
      <c r="G23" s="145"/>
      <c r="H23" s="145"/>
      <c r="I23" s="145"/>
      <c r="K23" s="122"/>
      <c r="AB23" s="122"/>
    </row>
    <row r="24" spans="1:28" x14ac:dyDescent="0.25">
      <c r="A24" s="111" t="s">
        <v>108</v>
      </c>
      <c r="B24" s="101">
        <f>Calcs!B$10</f>
        <v>50</v>
      </c>
      <c r="C24" s="112" t="s">
        <v>165</v>
      </c>
      <c r="F24" s="142"/>
      <c r="G24" s="146"/>
      <c r="H24" s="146"/>
      <c r="I24" s="146"/>
      <c r="K24" s="122"/>
      <c r="AB24" s="122"/>
    </row>
    <row r="25" spans="1:28" ht="15.75" thickBot="1" x14ac:dyDescent="0.3">
      <c r="A25" s="113" t="s">
        <v>91</v>
      </c>
      <c r="B25" s="102">
        <f>Calcs!B$11</f>
        <v>6</v>
      </c>
      <c r="C25" s="114" t="s">
        <v>9</v>
      </c>
      <c r="F25" s="142"/>
      <c r="G25" s="146"/>
      <c r="H25" s="146"/>
      <c r="I25" s="146"/>
      <c r="K25" s="122"/>
      <c r="AB25" s="122"/>
    </row>
    <row r="26" spans="1:28" x14ac:dyDescent="0.25">
      <c r="A26" s="115" t="s">
        <v>0</v>
      </c>
      <c r="B26" s="103">
        <f>Calcs!B$13</f>
        <v>1500</v>
      </c>
      <c r="C26" s="116" t="s">
        <v>1</v>
      </c>
      <c r="F26" s="142"/>
      <c r="G26" s="146"/>
      <c r="H26" s="146"/>
      <c r="I26" s="146"/>
      <c r="K26" s="122"/>
      <c r="AB26" s="122"/>
    </row>
    <row r="27" spans="1:28" ht="17.25" x14ac:dyDescent="0.25">
      <c r="A27" s="117" t="s">
        <v>22</v>
      </c>
      <c r="B27" s="104">
        <f>Calcs!B$14</f>
        <v>1029</v>
      </c>
      <c r="C27" s="118" t="s">
        <v>166</v>
      </c>
      <c r="F27" s="142"/>
      <c r="G27" s="146"/>
      <c r="H27" s="146"/>
      <c r="I27" s="146"/>
      <c r="K27" s="122"/>
      <c r="AB27" s="122"/>
    </row>
    <row r="28" spans="1:28" x14ac:dyDescent="0.25">
      <c r="A28" s="117" t="s">
        <v>104</v>
      </c>
      <c r="B28" s="104">
        <f>Calcs!B$15</f>
        <v>1.5</v>
      </c>
      <c r="C28" s="118" t="s">
        <v>4</v>
      </c>
      <c r="F28" s="142"/>
      <c r="G28" s="146"/>
      <c r="H28" s="146"/>
      <c r="I28" s="146"/>
      <c r="K28" s="122"/>
      <c r="AB28" s="122"/>
    </row>
    <row r="29" spans="1:28" x14ac:dyDescent="0.25">
      <c r="A29" s="117" t="s">
        <v>5</v>
      </c>
      <c r="B29" s="104">
        <f>Calcs!B$16</f>
        <v>0.27829999999999999</v>
      </c>
      <c r="C29" s="118" t="s">
        <v>6</v>
      </c>
      <c r="F29" s="142"/>
      <c r="G29" s="147"/>
      <c r="H29" s="148"/>
      <c r="I29" s="149"/>
      <c r="K29" s="131"/>
      <c r="AB29" s="122"/>
    </row>
    <row r="30" spans="1:28" ht="15.75" thickBot="1" x14ac:dyDescent="0.3">
      <c r="A30" s="119" t="s">
        <v>11</v>
      </c>
      <c r="B30" s="105">
        <f>Calcs!B$17</f>
        <v>17</v>
      </c>
      <c r="C30" s="120" t="s">
        <v>12</v>
      </c>
      <c r="K30" s="122"/>
      <c r="AB30" s="122"/>
    </row>
    <row r="31" spans="1:28" x14ac:dyDescent="0.25">
      <c r="K31" s="122"/>
      <c r="AB31" s="122"/>
    </row>
    <row r="32" spans="1:28" x14ac:dyDescent="0.25">
      <c r="K32" s="122"/>
      <c r="S32" s="122"/>
      <c r="T32" s="122"/>
      <c r="U32" s="122"/>
      <c r="V32" s="122"/>
      <c r="W32" s="122"/>
      <c r="X32" s="122"/>
      <c r="Y32" s="122"/>
      <c r="Z32" s="122"/>
      <c r="AA32" s="122"/>
      <c r="AB32" s="122"/>
    </row>
    <row r="33" spans="11:28" x14ac:dyDescent="0.25">
      <c r="K33" s="122"/>
      <c r="S33" s="122"/>
      <c r="T33" s="122"/>
      <c r="U33" s="122"/>
      <c r="V33" s="122"/>
      <c r="W33" s="122"/>
      <c r="X33" s="122"/>
      <c r="Y33" s="122"/>
      <c r="Z33" s="122"/>
      <c r="AA33" s="122"/>
      <c r="AB33" s="122"/>
    </row>
    <row r="34" spans="11:28" x14ac:dyDescent="0.25">
      <c r="K34" s="122"/>
      <c r="S34" s="122"/>
      <c r="T34" s="122"/>
      <c r="U34" s="122"/>
      <c r="V34" s="122"/>
      <c r="W34" s="122"/>
      <c r="X34" s="122"/>
      <c r="Y34" s="122"/>
      <c r="Z34" s="122"/>
      <c r="AA34" s="122"/>
      <c r="AB34" s="122"/>
    </row>
    <row r="35" spans="11:28" x14ac:dyDescent="0.25">
      <c r="K35" s="122"/>
      <c r="S35" s="122"/>
      <c r="T35" s="122"/>
      <c r="U35" s="122"/>
      <c r="V35" s="122"/>
      <c r="W35" s="122"/>
      <c r="X35" s="122"/>
      <c r="Y35" s="122"/>
      <c r="Z35" s="122"/>
      <c r="AA35" s="122"/>
      <c r="AB35" s="122"/>
    </row>
    <row r="36" spans="11:28" x14ac:dyDescent="0.25">
      <c r="K36" s="122"/>
      <c r="S36" s="122"/>
      <c r="T36" s="122"/>
      <c r="U36" s="122"/>
      <c r="V36" s="122"/>
      <c r="W36" s="122"/>
      <c r="X36" s="122"/>
      <c r="Y36" s="122"/>
      <c r="Z36" s="122"/>
      <c r="AA36" s="122"/>
      <c r="AB36" s="122"/>
    </row>
    <row r="37" spans="11:28" x14ac:dyDescent="0.25">
      <c r="K37" s="122"/>
      <c r="S37" s="122"/>
      <c r="T37" s="122"/>
      <c r="U37" s="122"/>
      <c r="V37" s="122"/>
      <c r="W37" s="122"/>
      <c r="X37" s="122"/>
      <c r="Y37" s="122"/>
      <c r="Z37" s="122"/>
      <c r="AA37" s="122"/>
      <c r="AB37" s="122"/>
    </row>
    <row r="38" spans="11:28" x14ac:dyDescent="0.25">
      <c r="K38" s="122"/>
      <c r="L38" s="122"/>
      <c r="M38" s="122"/>
      <c r="N38" s="122"/>
      <c r="O38" s="122"/>
      <c r="P38" s="122"/>
      <c r="Q38" s="122"/>
      <c r="R38" s="122"/>
      <c r="S38" s="122"/>
      <c r="T38" s="122"/>
      <c r="U38" s="122"/>
      <c r="V38" s="122"/>
      <c r="W38" s="122"/>
      <c r="X38" s="122"/>
      <c r="Y38" s="122"/>
      <c r="Z38" s="122"/>
      <c r="AA38" s="122"/>
      <c r="AB38" s="122"/>
    </row>
    <row r="39" spans="11:28" x14ac:dyDescent="0.25">
      <c r="K39" s="122"/>
      <c r="L39" s="122"/>
      <c r="M39" s="122"/>
      <c r="N39" s="122"/>
      <c r="O39" s="122"/>
      <c r="P39" s="122"/>
      <c r="Q39" s="122"/>
      <c r="R39" s="122"/>
      <c r="S39" s="122"/>
      <c r="T39" s="122"/>
      <c r="U39" s="122"/>
      <c r="V39" s="122"/>
      <c r="W39" s="122"/>
      <c r="X39" s="122"/>
      <c r="Y39" s="122"/>
      <c r="Z39" s="122"/>
      <c r="AA39" s="122"/>
      <c r="AB39" s="122"/>
    </row>
    <row r="40" spans="11:28" x14ac:dyDescent="0.25">
      <c r="K40" s="122"/>
      <c r="L40" s="122"/>
      <c r="M40" s="122"/>
      <c r="N40" s="122"/>
      <c r="O40" s="122"/>
      <c r="P40" s="122"/>
      <c r="Q40" s="122"/>
      <c r="R40" s="122"/>
      <c r="S40" s="122"/>
      <c r="T40" s="122"/>
      <c r="U40" s="122"/>
      <c r="V40" s="122"/>
      <c r="W40" s="122"/>
      <c r="X40" s="122"/>
      <c r="Y40" s="122"/>
      <c r="Z40" s="122"/>
      <c r="AA40" s="122"/>
      <c r="AB40" s="122"/>
    </row>
    <row r="41" spans="11:28" x14ac:dyDescent="0.25">
      <c r="K41" s="122"/>
      <c r="L41" s="122"/>
      <c r="M41" s="122"/>
      <c r="N41" s="122"/>
      <c r="O41" s="122"/>
      <c r="P41" s="122"/>
      <c r="Q41" s="122"/>
      <c r="R41" s="122"/>
      <c r="S41" s="122"/>
      <c r="T41" s="122"/>
      <c r="U41" s="122"/>
      <c r="V41" s="122"/>
      <c r="W41" s="122"/>
      <c r="X41" s="122"/>
      <c r="Y41" s="122"/>
      <c r="Z41" s="122"/>
      <c r="AA41" s="122"/>
      <c r="AB41" s="122"/>
    </row>
    <row r="42" spans="11:28" ht="15.75" thickBot="1" x14ac:dyDescent="0.3">
      <c r="K42" s="122"/>
      <c r="S42" s="122"/>
      <c r="AB42" s="122"/>
    </row>
    <row r="43" spans="11:28" x14ac:dyDescent="0.25">
      <c r="K43" s="150"/>
      <c r="L43" s="151"/>
      <c r="M43" s="151"/>
      <c r="N43" s="149"/>
      <c r="O43" s="149"/>
      <c r="P43" s="149"/>
      <c r="Q43" s="149"/>
      <c r="R43" s="149"/>
      <c r="S43" s="122"/>
      <c r="T43" s="152" t="s">
        <v>173</v>
      </c>
      <c r="U43" s="153"/>
      <c r="V43" s="153"/>
      <c r="W43" s="153"/>
      <c r="X43" s="153"/>
      <c r="Y43" s="153"/>
      <c r="Z43" s="154"/>
      <c r="AB43" s="122"/>
    </row>
    <row r="44" spans="11:28" x14ac:dyDescent="0.25">
      <c r="K44" s="150"/>
      <c r="L44" s="149"/>
      <c r="M44" s="149"/>
      <c r="N44" s="149"/>
      <c r="O44" s="149"/>
      <c r="P44" s="149"/>
      <c r="Q44" s="149"/>
      <c r="R44" s="149"/>
      <c r="S44" s="122"/>
      <c r="T44" s="333" t="s">
        <v>208</v>
      </c>
      <c r="U44" s="334"/>
      <c r="V44" s="334"/>
      <c r="W44" s="334"/>
      <c r="X44" s="334"/>
      <c r="Y44" s="334"/>
      <c r="Z44" s="335"/>
      <c r="AB44" s="122"/>
    </row>
    <row r="45" spans="11:28" x14ac:dyDescent="0.25">
      <c r="K45" s="150"/>
      <c r="L45" s="149"/>
      <c r="M45" s="149"/>
      <c r="N45" s="149"/>
      <c r="O45" s="149"/>
      <c r="P45" s="149"/>
      <c r="Q45" s="149"/>
      <c r="R45" s="149"/>
      <c r="S45" s="122"/>
      <c r="T45" s="333"/>
      <c r="U45" s="334"/>
      <c r="V45" s="334"/>
      <c r="W45" s="334"/>
      <c r="X45" s="334"/>
      <c r="Y45" s="334"/>
      <c r="Z45" s="335"/>
      <c r="AB45" s="122"/>
    </row>
    <row r="46" spans="11:28" x14ac:dyDescent="0.25">
      <c r="K46" s="150"/>
      <c r="L46" s="149"/>
      <c r="M46" s="149"/>
      <c r="N46" s="149"/>
      <c r="O46" s="149"/>
      <c r="P46" s="149"/>
      <c r="Q46" s="149"/>
      <c r="R46" s="149"/>
      <c r="S46" s="122"/>
      <c r="T46" s="155"/>
      <c r="U46" s="156"/>
      <c r="V46" s="156"/>
      <c r="W46" s="156"/>
      <c r="X46" s="156"/>
      <c r="Y46" s="156"/>
      <c r="Z46" s="157"/>
      <c r="AB46" s="122"/>
    </row>
    <row r="47" spans="11:28" ht="15.75" thickBot="1" x14ac:dyDescent="0.3">
      <c r="K47" s="150"/>
      <c r="L47" s="151"/>
      <c r="M47" s="151"/>
      <c r="N47" s="149"/>
      <c r="O47" s="149"/>
      <c r="P47" s="149"/>
      <c r="Q47" s="149"/>
      <c r="R47" s="149"/>
      <c r="S47" s="122"/>
      <c r="T47" s="158"/>
      <c r="U47" s="159"/>
      <c r="V47" s="159"/>
      <c r="W47" s="159"/>
      <c r="X47" s="159"/>
      <c r="Y47" s="159"/>
      <c r="Z47" s="160"/>
      <c r="AA47" s="122"/>
      <c r="AB47" s="122"/>
    </row>
    <row r="48" spans="11:28" x14ac:dyDescent="0.25">
      <c r="K48" s="150"/>
      <c r="L48" s="149"/>
      <c r="M48" s="149"/>
      <c r="N48" s="149"/>
      <c r="O48" s="149"/>
      <c r="P48" s="149"/>
      <c r="Q48" s="149"/>
      <c r="R48" s="149"/>
      <c r="S48" s="122"/>
      <c r="T48" s="122"/>
      <c r="U48" s="122"/>
      <c r="V48" s="122"/>
      <c r="W48" s="122"/>
      <c r="X48" s="122"/>
      <c r="Y48" s="122"/>
      <c r="Z48" s="122"/>
      <c r="AA48" s="122"/>
      <c r="AB48" s="122"/>
    </row>
    <row r="49" spans="11:28" x14ac:dyDescent="0.25">
      <c r="K49" s="150"/>
      <c r="L49" s="149"/>
      <c r="M49" s="149"/>
      <c r="N49" s="149"/>
      <c r="O49" s="149"/>
      <c r="P49" s="149"/>
      <c r="Q49" s="149"/>
      <c r="R49" s="149"/>
      <c r="S49" s="122"/>
      <c r="T49" s="122"/>
      <c r="U49" s="122"/>
      <c r="V49" s="122"/>
      <c r="W49" s="122"/>
      <c r="X49" s="122"/>
      <c r="Y49" s="122"/>
      <c r="Z49" s="122"/>
      <c r="AA49" s="122"/>
      <c r="AB49" s="122"/>
    </row>
    <row r="50" spans="11:28" x14ac:dyDescent="0.25">
      <c r="K50" s="150"/>
      <c r="L50" s="149"/>
      <c r="M50" s="149"/>
      <c r="N50" s="149"/>
      <c r="O50" s="149"/>
      <c r="P50" s="149"/>
      <c r="Q50" s="149"/>
      <c r="R50" s="149"/>
      <c r="S50" s="122"/>
      <c r="T50" s="122"/>
      <c r="U50" s="122"/>
      <c r="V50" s="122"/>
      <c r="W50" s="122"/>
      <c r="X50" s="122"/>
      <c r="Y50" s="122"/>
      <c r="Z50" s="122"/>
      <c r="AA50" s="122"/>
      <c r="AB50" s="122"/>
    </row>
    <row r="51" spans="11:28" x14ac:dyDescent="0.25">
      <c r="K51" s="150"/>
      <c r="L51" s="150"/>
      <c r="M51" s="150"/>
      <c r="N51" s="150"/>
      <c r="O51" s="150"/>
      <c r="P51" s="150"/>
      <c r="Q51" s="150"/>
      <c r="R51" s="150"/>
      <c r="S51" s="122"/>
      <c r="T51" s="122"/>
      <c r="U51" s="122"/>
      <c r="V51" s="122"/>
      <c r="W51" s="122"/>
      <c r="X51" s="122"/>
      <c r="Y51" s="122"/>
      <c r="Z51" s="122"/>
      <c r="AA51" s="122"/>
      <c r="AB51" s="122"/>
    </row>
  </sheetData>
  <sheetProtection algorithmName="SHA-512" hashValue="4aimx2dEfgyXGv5+VKahrGPFYgKbApvd78xx9wnTxn4Nm4GqF7dcbPddpQFrgUWlg49ZPVBHneM5QAYUMACo1w==" saltValue="V0ZyCPnPUOROqGJLExYuag==" spinCount="100000" sheet="1" objects="1" scenarios="1"/>
  <mergeCells count="11">
    <mergeCell ref="T44:Z45"/>
    <mergeCell ref="A1:D1"/>
    <mergeCell ref="F1:I1"/>
    <mergeCell ref="A10:D10"/>
    <mergeCell ref="F10:I10"/>
    <mergeCell ref="A3:A6"/>
    <mergeCell ref="B3:D3"/>
    <mergeCell ref="F3:F6"/>
    <mergeCell ref="G3:H4"/>
    <mergeCell ref="I3:I4"/>
    <mergeCell ref="B4:C4"/>
  </mergeCells>
  <pageMargins left="0.7" right="0.7" top="0.75" bottom="0.75" header="0.3" footer="0.3"/>
  <pageSetup paperSize="17" scale="67" orientation="landscape"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1CD3-B9B4-4D73-84A0-A3BE979139EE}">
  <sheetPr>
    <pageSetUpPr fitToPage="1"/>
  </sheetPr>
  <dimension ref="A1:W62"/>
  <sheetViews>
    <sheetView showGridLines="0" zoomScaleNormal="100" workbookViewId="0">
      <selection activeCell="I28" sqref="I28"/>
    </sheetView>
  </sheetViews>
  <sheetFormatPr defaultColWidth="9.140625" defaultRowHeight="15" x14ac:dyDescent="0.25"/>
  <cols>
    <col min="1" max="1" width="13.7109375" style="129" customWidth="1"/>
    <col min="2" max="2" width="13.5703125" style="129" customWidth="1"/>
    <col min="3" max="3" width="12.42578125" style="129" customWidth="1"/>
    <col min="4" max="4" width="3.140625" style="129" customWidth="1"/>
    <col min="5" max="5" width="12.140625" style="129" customWidth="1"/>
    <col min="6" max="6" width="12.42578125" style="129" customWidth="1"/>
    <col min="7" max="19" width="10.5703125" style="122" customWidth="1"/>
    <col min="20" max="16384" width="9.140625" style="122"/>
  </cols>
  <sheetData>
    <row r="1" spans="1:23"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3" ht="15" customHeight="1" x14ac:dyDescent="0.25">
      <c r="A2" s="123"/>
      <c r="B2" s="123"/>
      <c r="C2" s="123"/>
      <c r="D2" s="123"/>
      <c r="E2" s="121"/>
      <c r="F2" s="123"/>
      <c r="G2" s="123"/>
      <c r="H2" s="123"/>
      <c r="I2" s="123"/>
    </row>
    <row r="3" spans="1:23" ht="24.75" customHeight="1" x14ac:dyDescent="0.25">
      <c r="A3" s="348" t="s">
        <v>94</v>
      </c>
      <c r="B3" s="351" t="s">
        <v>195</v>
      </c>
      <c r="C3" s="353"/>
      <c r="E3" s="351" t="s">
        <v>194</v>
      </c>
      <c r="F3" s="353"/>
    </row>
    <row r="4" spans="1:23" ht="27" customHeight="1" x14ac:dyDescent="0.25">
      <c r="A4" s="348"/>
      <c r="B4" s="351" t="s">
        <v>89</v>
      </c>
      <c r="C4" s="353"/>
      <c r="E4" s="126" t="s">
        <v>90</v>
      </c>
      <c r="F4" s="126" t="s">
        <v>75</v>
      </c>
      <c r="J4" s="125"/>
      <c r="K4" s="125"/>
      <c r="L4" s="125"/>
      <c r="M4" s="125"/>
      <c r="N4" s="125"/>
    </row>
    <row r="5" spans="1:23" x14ac:dyDescent="0.25">
      <c r="A5" s="348"/>
      <c r="B5" s="124" t="s">
        <v>139</v>
      </c>
      <c r="C5" s="126" t="s">
        <v>96</v>
      </c>
      <c r="E5" s="126" t="s">
        <v>97</v>
      </c>
      <c r="F5" s="126" t="s">
        <v>97</v>
      </c>
      <c r="H5" s="125"/>
      <c r="I5" s="125"/>
      <c r="J5" s="125"/>
      <c r="K5" s="125"/>
      <c r="L5" s="125"/>
      <c r="M5" s="125"/>
      <c r="N5" s="125"/>
    </row>
    <row r="6" spans="1:23" ht="27.75" x14ac:dyDescent="0.25">
      <c r="A6" s="348"/>
      <c r="B6" s="124" t="s">
        <v>140</v>
      </c>
      <c r="C6" s="126" t="s">
        <v>84</v>
      </c>
      <c r="E6" s="126" t="s">
        <v>142</v>
      </c>
      <c r="F6" s="126" t="s">
        <v>78</v>
      </c>
      <c r="H6" s="125"/>
      <c r="I6" s="125"/>
      <c r="J6" s="125"/>
      <c r="K6" s="125"/>
      <c r="L6" s="125"/>
      <c r="M6" s="125"/>
      <c r="N6" s="125"/>
      <c r="O6" s="125"/>
      <c r="P6" s="125"/>
      <c r="Q6" s="125"/>
      <c r="R6" s="125"/>
      <c r="S6" s="125"/>
      <c r="T6" s="125"/>
      <c r="U6" s="125"/>
      <c r="V6" s="125"/>
      <c r="W6" s="125"/>
    </row>
    <row r="7" spans="1:23" x14ac:dyDescent="0.25">
      <c r="A7" s="127" t="s">
        <v>141</v>
      </c>
      <c r="B7" s="128">
        <v>210</v>
      </c>
      <c r="C7" s="128" t="s">
        <v>88</v>
      </c>
      <c r="E7" s="128">
        <v>180</v>
      </c>
      <c r="F7" s="128">
        <v>166</v>
      </c>
      <c r="H7" s="125"/>
      <c r="I7" s="125"/>
      <c r="J7" s="125"/>
      <c r="K7" s="125"/>
      <c r="L7" s="125"/>
      <c r="M7" s="125"/>
      <c r="N7" s="125"/>
      <c r="O7" s="125"/>
      <c r="P7" s="125"/>
      <c r="Q7" s="125"/>
      <c r="R7" s="125"/>
      <c r="S7" s="125"/>
      <c r="T7" s="125"/>
      <c r="U7" s="125"/>
      <c r="V7" s="125"/>
      <c r="W7" s="125"/>
    </row>
    <row r="8" spans="1:23" ht="24" customHeight="1" thickBot="1" x14ac:dyDescent="0.3">
      <c r="H8" s="125"/>
      <c r="I8" s="125"/>
      <c r="J8" s="125"/>
      <c r="K8" s="125"/>
      <c r="L8" s="125"/>
      <c r="M8" s="125"/>
      <c r="N8" s="125"/>
      <c r="O8" s="125"/>
      <c r="P8" s="125"/>
      <c r="Q8" s="125"/>
      <c r="R8" s="125"/>
      <c r="S8" s="125"/>
      <c r="T8" s="125"/>
      <c r="U8" s="125"/>
      <c r="V8" s="125"/>
      <c r="W8" s="125"/>
    </row>
    <row r="9" spans="1:23" ht="15.75" thickBot="1" x14ac:dyDescent="0.3">
      <c r="A9" s="354" t="s">
        <v>111</v>
      </c>
      <c r="B9" s="355"/>
      <c r="C9" s="355"/>
      <c r="D9" s="355"/>
      <c r="E9" s="355"/>
      <c r="F9" s="356"/>
      <c r="H9" s="125"/>
      <c r="I9" s="125"/>
      <c r="J9" s="125"/>
      <c r="K9" s="125"/>
      <c r="L9" s="125"/>
      <c r="M9" s="125"/>
      <c r="N9" s="125"/>
      <c r="O9" s="125"/>
      <c r="P9" s="125"/>
      <c r="Q9" s="125"/>
      <c r="R9" s="125"/>
      <c r="S9" s="125"/>
      <c r="T9" s="125"/>
      <c r="U9" s="125"/>
      <c r="V9" s="125"/>
      <c r="W9" s="125"/>
    </row>
    <row r="10" spans="1:23" x14ac:dyDescent="0.25">
      <c r="A10" s="130" t="s">
        <v>141</v>
      </c>
      <c r="B10" s="106">
        <f>IF(Calcs!Z52&gt;5000,"&gt; 5000",IF(Calcs!Z52&lt;Calcs!$B$11/2,0,Calcs!Z52))</f>
        <v>9.9820853112952044</v>
      </c>
      <c r="C10" s="106">
        <f>IF(Calcs!AA52&gt;5000,"&gt; 5000",IF(Calcs!AA52&lt;Calcs!$B$11/2,0,Calcs!AA52))</f>
        <v>96.951365755791258</v>
      </c>
      <c r="E10" s="106">
        <f>IF(Calcs!AB52&gt;5000,"&gt; 5000",IF(Calcs!AB52&lt;Calcs!$B$11/2,0,Calcs!AB52))</f>
        <v>1438.8571974088964</v>
      </c>
      <c r="F10" s="106" t="str">
        <f>IF(Calcs!AC52&gt;5000,"&gt; 5000",IF(Calcs!AC52&lt;Calcs!$B$11/2,0,Calcs!AC52))</f>
        <v>&gt; 5000</v>
      </c>
      <c r="H10" s="125"/>
      <c r="I10" s="125"/>
      <c r="J10" s="125"/>
      <c r="K10" s="125"/>
      <c r="L10" s="125"/>
      <c r="M10" s="125"/>
      <c r="N10" s="125"/>
      <c r="O10" s="125"/>
      <c r="P10" s="125"/>
      <c r="Q10" s="125"/>
      <c r="R10" s="125"/>
      <c r="S10" s="125"/>
      <c r="T10" s="125"/>
      <c r="U10" s="125"/>
      <c r="V10" s="125"/>
      <c r="W10" s="125"/>
    </row>
    <row r="11" spans="1:23" x14ac:dyDescent="0.25">
      <c r="H11" s="125"/>
      <c r="I11" s="125"/>
      <c r="J11" s="125"/>
      <c r="K11" s="125"/>
      <c r="L11" s="125"/>
      <c r="M11" s="125"/>
      <c r="N11" s="125"/>
      <c r="O11" s="125"/>
      <c r="P11" s="125"/>
      <c r="Q11" s="125"/>
      <c r="R11" s="125"/>
      <c r="S11" s="125"/>
      <c r="T11" s="125"/>
      <c r="U11" s="125"/>
      <c r="V11" s="125"/>
      <c r="W11" s="125"/>
    </row>
    <row r="12" spans="1:23" x14ac:dyDescent="0.25">
      <c r="A12" s="132"/>
      <c r="B12" s="132">
        <v>210</v>
      </c>
      <c r="C12" s="132">
        <v>207</v>
      </c>
      <c r="D12" s="132"/>
      <c r="E12" s="132">
        <v>180</v>
      </c>
      <c r="F12" s="132">
        <v>166</v>
      </c>
      <c r="G12" s="131"/>
      <c r="H12" s="125"/>
      <c r="I12" s="125"/>
      <c r="J12" s="125"/>
      <c r="K12" s="125"/>
      <c r="L12" s="125"/>
      <c r="M12" s="125"/>
      <c r="N12" s="125"/>
      <c r="O12" s="125"/>
      <c r="P12" s="125"/>
      <c r="Q12" s="125"/>
      <c r="R12" s="125"/>
      <c r="S12" s="125"/>
      <c r="T12" s="125"/>
      <c r="U12" s="125"/>
      <c r="V12" s="125"/>
      <c r="W12" s="125"/>
    </row>
    <row r="13" spans="1:23" x14ac:dyDescent="0.25">
      <c r="A13" s="132">
        <v>1</v>
      </c>
      <c r="B13" s="132">
        <v>210</v>
      </c>
      <c r="C13" s="132">
        <v>207</v>
      </c>
      <c r="D13" s="132"/>
      <c r="E13" s="132">
        <v>180</v>
      </c>
      <c r="F13" s="132">
        <v>166</v>
      </c>
      <c r="H13" s="125"/>
      <c r="I13" s="125"/>
      <c r="J13" s="125"/>
      <c r="K13" s="125"/>
      <c r="L13" s="125"/>
      <c r="M13" s="125"/>
      <c r="N13" s="125"/>
      <c r="O13" s="125"/>
      <c r="P13" s="125"/>
      <c r="Q13" s="125"/>
      <c r="R13" s="125"/>
      <c r="S13" s="125"/>
      <c r="T13" s="125"/>
      <c r="U13" s="125"/>
      <c r="V13" s="125"/>
      <c r="W13" s="125"/>
    </row>
    <row r="14" spans="1:23" x14ac:dyDescent="0.25">
      <c r="A14" s="132">
        <v>5000</v>
      </c>
      <c r="B14" s="132">
        <v>210</v>
      </c>
      <c r="C14" s="132">
        <v>207</v>
      </c>
      <c r="D14" s="132"/>
      <c r="E14" s="132">
        <v>180</v>
      </c>
      <c r="F14" s="132">
        <v>166</v>
      </c>
      <c r="G14" s="133"/>
      <c r="H14" s="133"/>
      <c r="I14" s="133"/>
      <c r="J14" s="125"/>
      <c r="K14" s="125"/>
      <c r="L14" s="125"/>
      <c r="M14" s="125"/>
      <c r="N14" s="125"/>
      <c r="O14" s="125"/>
      <c r="P14" s="125"/>
      <c r="Q14" s="125"/>
      <c r="R14" s="125"/>
      <c r="S14" s="125"/>
      <c r="T14" s="125"/>
      <c r="U14" s="125"/>
      <c r="V14" s="125"/>
      <c r="W14" s="125"/>
    </row>
    <row r="15" spans="1:23" x14ac:dyDescent="0.25">
      <c r="A15" s="132"/>
      <c r="B15" s="132"/>
      <c r="C15" s="132"/>
      <c r="D15" s="132"/>
      <c r="E15" s="132"/>
      <c r="F15" s="132"/>
      <c r="G15" s="133"/>
      <c r="H15" s="133"/>
      <c r="I15" s="133"/>
      <c r="J15" s="125"/>
      <c r="K15" s="125"/>
      <c r="L15" s="125"/>
      <c r="M15" s="125"/>
      <c r="N15" s="125"/>
      <c r="O15" s="125"/>
      <c r="P15" s="125"/>
      <c r="Q15" s="125"/>
      <c r="R15" s="125"/>
      <c r="S15" s="125"/>
      <c r="T15" s="125"/>
      <c r="U15" s="125"/>
      <c r="V15" s="125"/>
      <c r="W15" s="125"/>
    </row>
    <row r="16" spans="1:23" x14ac:dyDescent="0.25">
      <c r="A16" s="132"/>
      <c r="B16" s="132"/>
      <c r="C16" s="132"/>
      <c r="D16" s="132"/>
      <c r="E16" s="132"/>
      <c r="F16" s="132"/>
      <c r="G16" s="133"/>
      <c r="H16" s="133"/>
      <c r="I16" s="133"/>
    </row>
    <row r="17" spans="1:23" x14ac:dyDescent="0.25">
      <c r="A17" s="132"/>
      <c r="B17" s="132"/>
      <c r="C17" s="132"/>
      <c r="D17" s="132"/>
      <c r="E17" s="132"/>
      <c r="F17" s="132"/>
      <c r="G17" s="133"/>
      <c r="H17" s="133"/>
      <c r="I17" s="133"/>
    </row>
    <row r="18" spans="1:23" x14ac:dyDescent="0.25">
      <c r="A18" s="132"/>
      <c r="B18" s="132"/>
      <c r="C18" s="132"/>
      <c r="D18" s="132"/>
      <c r="E18" s="132"/>
      <c r="F18" s="132"/>
      <c r="G18" s="133"/>
      <c r="H18" s="133"/>
      <c r="I18" s="133"/>
    </row>
    <row r="19" spans="1:23" ht="15.75" thickBot="1" x14ac:dyDescent="0.3">
      <c r="A19" s="137" t="s">
        <v>172</v>
      </c>
      <c r="B19" s="138"/>
      <c r="C19" s="138"/>
    </row>
    <row r="20" spans="1:23" ht="15.75" thickBot="1" x14ac:dyDescent="0.3">
      <c r="A20" s="139" t="s">
        <v>73</v>
      </c>
      <c r="B20" s="140" t="s">
        <v>72</v>
      </c>
      <c r="C20" s="140" t="s">
        <v>70</v>
      </c>
    </row>
    <row r="21" spans="1:23" x14ac:dyDescent="0.25">
      <c r="A21" s="107" t="s">
        <v>2</v>
      </c>
      <c r="B21" s="100">
        <f>Calcs!B$7</f>
        <v>29</v>
      </c>
      <c r="C21" s="108" t="s">
        <v>3</v>
      </c>
    </row>
    <row r="22" spans="1:23" ht="18.75" thickBot="1" x14ac:dyDescent="0.3">
      <c r="A22" s="109" t="s">
        <v>106</v>
      </c>
      <c r="B22" s="101">
        <f>Calcs!B$8</f>
        <v>179</v>
      </c>
      <c r="C22" s="110" t="s">
        <v>10</v>
      </c>
      <c r="D22" s="143"/>
      <c r="E22" s="142"/>
      <c r="H22" s="125"/>
      <c r="I22" s="125"/>
      <c r="J22" s="125"/>
      <c r="K22" s="125"/>
      <c r="L22" s="125"/>
      <c r="M22" s="125"/>
      <c r="N22" s="125"/>
      <c r="O22" s="125"/>
      <c r="P22" s="125"/>
      <c r="Q22" s="125"/>
      <c r="R22" s="125"/>
      <c r="S22" s="125"/>
      <c r="T22" s="125"/>
      <c r="U22" s="125"/>
      <c r="V22" s="125"/>
      <c r="W22" s="125"/>
    </row>
    <row r="23" spans="1:23" x14ac:dyDescent="0.25">
      <c r="A23" s="109" t="s">
        <v>16</v>
      </c>
      <c r="B23" s="101">
        <f>Calcs!B$9</f>
        <v>234</v>
      </c>
      <c r="C23" s="110" t="s">
        <v>9</v>
      </c>
      <c r="D23" s="144"/>
      <c r="E23" s="142"/>
      <c r="G23" s="150"/>
      <c r="H23" s="151"/>
      <c r="I23" s="151"/>
      <c r="J23" s="149"/>
      <c r="K23" s="149"/>
      <c r="L23" s="149"/>
      <c r="M23" s="149"/>
      <c r="N23" s="149"/>
      <c r="O23" s="125"/>
      <c r="P23" s="152" t="s">
        <v>173</v>
      </c>
      <c r="Q23" s="153"/>
      <c r="R23" s="153"/>
      <c r="S23" s="153"/>
      <c r="T23" s="153"/>
      <c r="U23" s="153"/>
      <c r="V23" s="154"/>
      <c r="W23" s="125"/>
    </row>
    <row r="24" spans="1:23" x14ac:dyDescent="0.25">
      <c r="A24" s="111" t="s">
        <v>108</v>
      </c>
      <c r="B24" s="101">
        <f>Calcs!B$10</f>
        <v>50</v>
      </c>
      <c r="C24" s="112" t="s">
        <v>165</v>
      </c>
      <c r="D24" s="144"/>
      <c r="E24" s="142"/>
      <c r="G24" s="150"/>
      <c r="H24" s="149"/>
      <c r="I24" s="149"/>
      <c r="J24" s="149"/>
      <c r="K24" s="149"/>
      <c r="L24" s="149"/>
      <c r="M24" s="149"/>
      <c r="N24" s="149"/>
      <c r="O24" s="125"/>
      <c r="P24" s="333" t="s">
        <v>209</v>
      </c>
      <c r="Q24" s="334"/>
      <c r="R24" s="334"/>
      <c r="S24" s="334"/>
      <c r="T24" s="334"/>
      <c r="U24" s="334"/>
      <c r="V24" s="335"/>
      <c r="W24" s="125"/>
    </row>
    <row r="25" spans="1:23" ht="15.75" thickBot="1" x14ac:dyDescent="0.3">
      <c r="A25" s="113" t="s">
        <v>91</v>
      </c>
      <c r="B25" s="102">
        <f>Calcs!B$11</f>
        <v>6</v>
      </c>
      <c r="C25" s="114" t="s">
        <v>9</v>
      </c>
      <c r="D25" s="144"/>
      <c r="E25" s="142"/>
      <c r="G25" s="150"/>
      <c r="H25" s="149"/>
      <c r="I25" s="149"/>
      <c r="J25" s="149"/>
      <c r="K25" s="149"/>
      <c r="L25" s="149"/>
      <c r="M25" s="149"/>
      <c r="N25" s="149"/>
      <c r="O25" s="125"/>
      <c r="P25" s="333"/>
      <c r="Q25" s="334"/>
      <c r="R25" s="334"/>
      <c r="S25" s="334"/>
      <c r="T25" s="334"/>
      <c r="U25" s="334"/>
      <c r="V25" s="335"/>
      <c r="W25" s="125"/>
    </row>
    <row r="26" spans="1:23" x14ac:dyDescent="0.25">
      <c r="A26" s="115" t="s">
        <v>0</v>
      </c>
      <c r="B26" s="103">
        <f>Calcs!B$13</f>
        <v>1500</v>
      </c>
      <c r="C26" s="116" t="s">
        <v>1</v>
      </c>
      <c r="D26" s="145"/>
      <c r="E26" s="142"/>
      <c r="G26" s="150"/>
      <c r="H26" s="149"/>
      <c r="I26" s="149"/>
      <c r="J26" s="149"/>
      <c r="K26" s="149"/>
      <c r="L26" s="149"/>
      <c r="M26" s="149"/>
      <c r="N26" s="149"/>
      <c r="O26" s="125"/>
      <c r="P26" s="155"/>
      <c r="Q26" s="156"/>
      <c r="R26" s="156"/>
      <c r="S26" s="156"/>
      <c r="T26" s="156"/>
      <c r="U26" s="156"/>
      <c r="V26" s="157"/>
      <c r="W26" s="125"/>
    </row>
    <row r="27" spans="1:23" ht="18" thickBot="1" x14ac:dyDescent="0.3">
      <c r="A27" s="117" t="s">
        <v>22</v>
      </c>
      <c r="B27" s="104">
        <f>Calcs!B$14</f>
        <v>1029</v>
      </c>
      <c r="C27" s="118" t="s">
        <v>166</v>
      </c>
      <c r="D27" s="146"/>
      <c r="E27" s="142"/>
      <c r="G27" s="150"/>
      <c r="H27" s="151"/>
      <c r="I27" s="151"/>
      <c r="J27" s="149"/>
      <c r="K27" s="149"/>
      <c r="L27" s="149"/>
      <c r="M27" s="149"/>
      <c r="N27" s="149"/>
      <c r="O27" s="125"/>
      <c r="P27" s="158"/>
      <c r="Q27" s="159"/>
      <c r="R27" s="159"/>
      <c r="S27" s="159"/>
      <c r="T27" s="159"/>
      <c r="U27" s="159"/>
      <c r="V27" s="160"/>
      <c r="W27" s="125"/>
    </row>
    <row r="28" spans="1:23" x14ac:dyDescent="0.25">
      <c r="A28" s="117" t="s">
        <v>104</v>
      </c>
      <c r="B28" s="104">
        <f>Calcs!B$15</f>
        <v>1.5</v>
      </c>
      <c r="C28" s="118" t="s">
        <v>4</v>
      </c>
      <c r="D28" s="146"/>
      <c r="E28" s="142"/>
      <c r="G28" s="150"/>
      <c r="H28" s="149"/>
      <c r="I28" s="149"/>
      <c r="J28" s="149"/>
      <c r="K28" s="149"/>
      <c r="L28" s="149"/>
      <c r="M28" s="149"/>
      <c r="N28" s="149"/>
    </row>
    <row r="29" spans="1:23" x14ac:dyDescent="0.25">
      <c r="A29" s="117" t="s">
        <v>5</v>
      </c>
      <c r="B29" s="104">
        <f>Calcs!B$16</f>
        <v>0.27829999999999999</v>
      </c>
      <c r="C29" s="118" t="s">
        <v>6</v>
      </c>
      <c r="D29" s="146"/>
      <c r="E29" s="142"/>
      <c r="G29" s="150"/>
      <c r="H29" s="149"/>
      <c r="I29" s="149"/>
      <c r="J29" s="149"/>
      <c r="K29" s="149"/>
      <c r="L29" s="149"/>
      <c r="M29" s="149"/>
      <c r="N29" s="149"/>
    </row>
    <row r="30" spans="1:23" ht="15.75" thickBot="1" x14ac:dyDescent="0.3">
      <c r="A30" s="119" t="s">
        <v>11</v>
      </c>
      <c r="B30" s="105">
        <f>Calcs!B$17</f>
        <v>17</v>
      </c>
      <c r="C30" s="120" t="s">
        <v>12</v>
      </c>
      <c r="D30" s="146"/>
      <c r="E30" s="142"/>
      <c r="G30" s="150"/>
      <c r="H30" s="150"/>
      <c r="I30" s="150"/>
      <c r="J30" s="149"/>
      <c r="K30" s="149"/>
      <c r="L30" s="149"/>
      <c r="M30" s="149"/>
      <c r="N30" s="149"/>
    </row>
    <row r="31" spans="1:23" x14ac:dyDescent="0.25">
      <c r="B31" s="146"/>
      <c r="C31" s="146"/>
      <c r="D31" s="146"/>
      <c r="E31" s="142"/>
      <c r="G31" s="150"/>
      <c r="H31" s="149"/>
      <c r="I31" s="149"/>
      <c r="J31" s="150"/>
      <c r="K31" s="150"/>
      <c r="L31" s="150"/>
      <c r="M31" s="150"/>
      <c r="N31" s="150"/>
    </row>
    <row r="32" spans="1:23" x14ac:dyDescent="0.25">
      <c r="B32" s="147"/>
      <c r="C32" s="148"/>
      <c r="D32" s="149"/>
      <c r="E32" s="142"/>
    </row>
    <row r="33" spans="4:5" x14ac:dyDescent="0.25">
      <c r="D33" s="142"/>
      <c r="E33" s="142"/>
    </row>
    <row r="53" spans="15:23" x14ac:dyDescent="0.25">
      <c r="O53" s="150"/>
      <c r="P53" s="150"/>
      <c r="Q53" s="150"/>
      <c r="R53" s="150"/>
      <c r="S53" s="150"/>
      <c r="T53" s="150"/>
      <c r="U53" s="150"/>
      <c r="V53" s="150"/>
      <c r="W53" s="150"/>
    </row>
    <row r="54" spans="15:23" x14ac:dyDescent="0.25">
      <c r="O54" s="150"/>
      <c r="P54" s="150"/>
      <c r="Q54" s="150"/>
      <c r="R54" s="150"/>
      <c r="S54" s="150"/>
      <c r="T54" s="150"/>
      <c r="U54" s="150"/>
      <c r="V54" s="150"/>
      <c r="W54" s="150"/>
    </row>
    <row r="55" spans="15:23" x14ac:dyDescent="0.25">
      <c r="O55" s="150"/>
      <c r="P55" s="149"/>
      <c r="Q55" s="149"/>
      <c r="R55" s="149"/>
      <c r="S55" s="149"/>
      <c r="T55" s="149"/>
      <c r="U55" s="149"/>
      <c r="V55" s="149"/>
      <c r="W55" s="149"/>
    </row>
    <row r="56" spans="15:23" x14ac:dyDescent="0.25">
      <c r="O56" s="150"/>
      <c r="P56" s="151"/>
      <c r="Q56" s="149"/>
      <c r="R56" s="149"/>
      <c r="S56" s="149"/>
      <c r="T56" s="149"/>
      <c r="U56" s="149"/>
      <c r="V56" s="149"/>
      <c r="W56" s="149"/>
    </row>
    <row r="57" spans="15:23" x14ac:dyDescent="0.25">
      <c r="O57" s="150"/>
      <c r="P57" s="149"/>
      <c r="Q57" s="149"/>
      <c r="R57" s="149"/>
      <c r="S57" s="149"/>
      <c r="T57" s="149"/>
      <c r="U57" s="149"/>
      <c r="V57" s="149"/>
      <c r="W57" s="149"/>
    </row>
    <row r="58" spans="15:23" x14ac:dyDescent="0.25">
      <c r="O58" s="150"/>
      <c r="P58" s="149"/>
      <c r="Q58" s="149"/>
      <c r="R58" s="149"/>
      <c r="S58" s="149"/>
      <c r="T58" s="149"/>
      <c r="U58" s="149"/>
      <c r="V58" s="149"/>
      <c r="W58" s="149"/>
    </row>
    <row r="59" spans="15:23" x14ac:dyDescent="0.25">
      <c r="O59" s="150"/>
      <c r="P59" s="149"/>
      <c r="Q59" s="149"/>
      <c r="R59" s="149"/>
      <c r="S59" s="149"/>
      <c r="T59" s="149"/>
      <c r="U59" s="149"/>
      <c r="V59" s="149"/>
      <c r="W59" s="149"/>
    </row>
    <row r="60" spans="15:23" x14ac:dyDescent="0.25">
      <c r="O60" s="150"/>
      <c r="P60" s="150"/>
      <c r="Q60" s="150"/>
      <c r="R60" s="150"/>
      <c r="S60" s="150"/>
      <c r="T60" s="150"/>
      <c r="U60" s="150"/>
      <c r="V60" s="150"/>
      <c r="W60" s="150"/>
    </row>
    <row r="61" spans="15:23" x14ac:dyDescent="0.25">
      <c r="O61" s="150"/>
      <c r="P61" s="150"/>
      <c r="Q61" s="150"/>
      <c r="R61" s="150"/>
      <c r="S61" s="150"/>
      <c r="T61" s="150"/>
      <c r="U61" s="150"/>
      <c r="V61" s="150"/>
      <c r="W61" s="150"/>
    </row>
    <row r="62" spans="15:23" x14ac:dyDescent="0.25">
      <c r="O62" s="150"/>
      <c r="P62" s="150"/>
      <c r="Q62" s="150"/>
      <c r="R62" s="150"/>
      <c r="S62" s="150"/>
      <c r="T62" s="150"/>
      <c r="U62" s="150"/>
      <c r="V62" s="150"/>
      <c r="W62" s="150"/>
    </row>
  </sheetData>
  <sheetProtection algorithmName="SHA-512" hashValue="xq7iXfOc3HBky/ukmk6RMcjWBGcPWngcNlWB1wcLx7ZUUj8pkdlpaD6lA4UGRIGCksySWmnhyslVLT0nAhxPOQ==" saltValue="0gLoLV85dRNbVtOPMW06yQ==" spinCount="100000" sheet="1" objects="1" scenarios="1"/>
  <mergeCells count="8">
    <mergeCell ref="P24:V25"/>
    <mergeCell ref="E3:F3"/>
    <mergeCell ref="A1:D1"/>
    <mergeCell ref="F1:I1"/>
    <mergeCell ref="A9:F9"/>
    <mergeCell ref="A3:A6"/>
    <mergeCell ref="B3:C3"/>
    <mergeCell ref="B4:C4"/>
  </mergeCells>
  <pageMargins left="0.7" right="0.7" top="0.75" bottom="0.75" header="0.3" footer="0.3"/>
  <pageSetup paperSize="17" scale="82" orientation="landscape"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7F248-E26F-45C4-9A00-D0A0BEFE0325}">
  <sheetPr>
    <pageSetUpPr fitToPage="1"/>
  </sheetPr>
  <dimension ref="A1:Y56"/>
  <sheetViews>
    <sheetView showGridLines="0" zoomScaleNormal="100" workbookViewId="0">
      <selection activeCell="I28" sqref="I28"/>
    </sheetView>
  </sheetViews>
  <sheetFormatPr defaultColWidth="9.140625" defaultRowHeight="15" x14ac:dyDescent="0.25"/>
  <cols>
    <col min="1" max="1" width="13.28515625" style="129" customWidth="1"/>
    <col min="2" max="6" width="11.85546875" style="129" customWidth="1"/>
    <col min="7" max="7" width="7.7109375" style="184" customWidth="1"/>
    <col min="8" max="20" width="10.5703125" style="122" customWidth="1"/>
    <col min="21" max="16384" width="9.140625" style="122"/>
  </cols>
  <sheetData>
    <row r="1" spans="1:25"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5" ht="15" customHeight="1" x14ac:dyDescent="0.25">
      <c r="A2" s="123"/>
      <c r="B2" s="123"/>
      <c r="C2" s="123"/>
      <c r="D2" s="123"/>
      <c r="E2" s="121"/>
      <c r="F2" s="123"/>
      <c r="G2" s="123"/>
      <c r="H2" s="123"/>
      <c r="I2" s="123"/>
    </row>
    <row r="3" spans="1:25" ht="15" customHeight="1" x14ac:dyDescent="0.25">
      <c r="A3" s="348" t="s">
        <v>93</v>
      </c>
      <c r="B3" s="351" t="s">
        <v>103</v>
      </c>
      <c r="C3" s="352"/>
      <c r="D3" s="352"/>
      <c r="E3" s="353"/>
      <c r="F3" s="124" t="s">
        <v>206</v>
      </c>
      <c r="G3" s="180"/>
      <c r="I3" s="125"/>
      <c r="J3" s="125"/>
      <c r="K3" s="125"/>
      <c r="L3" s="125"/>
      <c r="M3" s="125"/>
      <c r="N3" s="125"/>
      <c r="O3" s="125"/>
      <c r="P3" s="125"/>
      <c r="Q3" s="125"/>
      <c r="R3" s="125"/>
      <c r="S3" s="125"/>
      <c r="T3" s="125"/>
      <c r="U3" s="125"/>
      <c r="V3" s="125"/>
      <c r="W3" s="125"/>
      <c r="X3" s="125"/>
    </row>
    <row r="4" spans="1:25" ht="15" customHeight="1" x14ac:dyDescent="0.25">
      <c r="A4" s="348"/>
      <c r="B4" s="348" t="s">
        <v>76</v>
      </c>
      <c r="C4" s="348"/>
      <c r="D4" s="348" t="s">
        <v>77</v>
      </c>
      <c r="E4" s="348"/>
      <c r="F4" s="126" t="s">
        <v>75</v>
      </c>
      <c r="G4" s="180"/>
      <c r="I4" s="125"/>
      <c r="J4" s="125"/>
      <c r="K4" s="125"/>
      <c r="L4" s="125"/>
      <c r="M4" s="125"/>
      <c r="N4" s="125"/>
      <c r="O4" s="125"/>
      <c r="P4" s="125"/>
      <c r="Q4" s="125"/>
      <c r="R4" s="125"/>
      <c r="S4" s="125"/>
      <c r="T4" s="125"/>
      <c r="U4" s="125"/>
      <c r="V4" s="125"/>
      <c r="W4" s="125"/>
      <c r="X4" s="125"/>
    </row>
    <row r="5" spans="1:25" ht="16.5" customHeight="1" x14ac:dyDescent="0.25">
      <c r="A5" s="348"/>
      <c r="B5" s="126" t="s">
        <v>143</v>
      </c>
      <c r="C5" s="126" t="s">
        <v>144</v>
      </c>
      <c r="D5" s="126" t="s">
        <v>145</v>
      </c>
      <c r="E5" s="126" t="s">
        <v>96</v>
      </c>
      <c r="F5" s="126" t="s">
        <v>97</v>
      </c>
      <c r="G5" s="180"/>
      <c r="I5" s="125"/>
      <c r="J5" s="125"/>
      <c r="K5" s="125"/>
      <c r="L5" s="125"/>
      <c r="M5" s="125"/>
      <c r="N5" s="125"/>
      <c r="O5" s="125"/>
      <c r="P5" s="125"/>
      <c r="Q5" s="125"/>
      <c r="R5" s="125"/>
      <c r="S5" s="125"/>
      <c r="T5" s="125"/>
      <c r="U5" s="125"/>
      <c r="V5" s="125"/>
      <c r="W5" s="125"/>
      <c r="X5" s="125"/>
    </row>
    <row r="6" spans="1:25" ht="25.5" x14ac:dyDescent="0.25">
      <c r="A6" s="348"/>
      <c r="B6" s="126" t="s">
        <v>146</v>
      </c>
      <c r="C6" s="126" t="s">
        <v>78</v>
      </c>
      <c r="D6" s="126" t="s">
        <v>147</v>
      </c>
      <c r="E6" s="126" t="s">
        <v>78</v>
      </c>
      <c r="F6" s="126" t="s">
        <v>78</v>
      </c>
      <c r="G6" s="180"/>
      <c r="I6" s="125"/>
      <c r="J6" s="125"/>
      <c r="K6" s="125"/>
      <c r="L6" s="125"/>
      <c r="M6" s="125"/>
      <c r="N6" s="125"/>
      <c r="O6" s="125"/>
      <c r="P6" s="125"/>
      <c r="Q6" s="125"/>
      <c r="R6" s="125"/>
      <c r="S6" s="125"/>
      <c r="T6" s="125"/>
      <c r="U6" s="125"/>
      <c r="V6" s="125"/>
      <c r="W6" s="125"/>
      <c r="X6" s="125"/>
    </row>
    <row r="7" spans="1:25" ht="25.5" x14ac:dyDescent="0.25">
      <c r="A7" s="127" t="s">
        <v>79</v>
      </c>
      <c r="B7" s="128">
        <v>183</v>
      </c>
      <c r="C7" s="128">
        <v>219</v>
      </c>
      <c r="D7" s="128">
        <v>168</v>
      </c>
      <c r="E7" s="128">
        <v>213</v>
      </c>
      <c r="F7" s="128">
        <v>160</v>
      </c>
      <c r="G7" s="181"/>
      <c r="I7" s="125"/>
      <c r="J7" s="125"/>
      <c r="K7" s="125"/>
      <c r="L7" s="125"/>
      <c r="M7" s="125"/>
      <c r="N7" s="125"/>
      <c r="O7" s="125"/>
      <c r="P7" s="125"/>
      <c r="Q7" s="125"/>
      <c r="R7" s="125"/>
      <c r="S7" s="125"/>
      <c r="T7" s="125"/>
      <c r="U7" s="125"/>
      <c r="V7" s="125"/>
      <c r="W7" s="125"/>
      <c r="X7" s="125"/>
    </row>
    <row r="8" spans="1:25" ht="15.75" thickBot="1" x14ac:dyDescent="0.3">
      <c r="G8" s="182"/>
      <c r="I8" s="125"/>
      <c r="J8" s="125"/>
      <c r="K8" s="125"/>
      <c r="L8" s="125"/>
      <c r="M8" s="125"/>
      <c r="N8" s="125"/>
      <c r="O8" s="125"/>
      <c r="P8" s="125"/>
      <c r="Q8" s="125"/>
      <c r="R8" s="125"/>
      <c r="S8" s="125"/>
      <c r="T8" s="125"/>
      <c r="U8" s="125"/>
      <c r="V8" s="125"/>
      <c r="W8" s="125"/>
      <c r="X8" s="125"/>
      <c r="Y8" s="125"/>
    </row>
    <row r="9" spans="1:25" ht="15.75" thickBot="1" x14ac:dyDescent="0.3">
      <c r="A9" s="345" t="s">
        <v>111</v>
      </c>
      <c r="B9" s="346"/>
      <c r="C9" s="346"/>
      <c r="D9" s="346"/>
      <c r="E9" s="346"/>
      <c r="F9" s="347"/>
      <c r="G9" s="183"/>
      <c r="I9" s="125"/>
      <c r="J9" s="125"/>
      <c r="K9" s="125"/>
      <c r="L9" s="125"/>
      <c r="M9" s="125"/>
      <c r="N9" s="125"/>
      <c r="O9" s="125"/>
      <c r="P9" s="125"/>
      <c r="Q9" s="125"/>
      <c r="R9" s="125"/>
      <c r="S9" s="125"/>
      <c r="T9" s="125"/>
      <c r="U9" s="125"/>
      <c r="V9" s="125"/>
      <c r="W9" s="125"/>
      <c r="X9" s="125"/>
      <c r="Y9" s="125"/>
    </row>
    <row r="10" spans="1:25" ht="25.5" x14ac:dyDescent="0.25">
      <c r="A10" s="130" t="s">
        <v>79</v>
      </c>
      <c r="B10" s="106">
        <f>IF(Calcs!AE52&gt;5000,"&gt; 5000",IF(Calcs!AE52&lt;Calcs!$B$11/2,0,Calcs!AE52))</f>
        <v>2420.8135147267976</v>
      </c>
      <c r="C10" s="106">
        <f>IF(Calcs!AH52&gt;5000,"&gt; 5000",IF(Calcs!AH52&lt;Calcs!$B$11/2,0,Calcs!AH52))</f>
        <v>9.9930340433518197</v>
      </c>
      <c r="D10" s="106" t="str">
        <f>IF(Calcs!AG52&gt;5000,"&gt; 5000",IF(Calcs!AG52&lt;Calcs!$B$11/2,0,Calcs!AG52))</f>
        <v>&gt; 5000</v>
      </c>
      <c r="E10" s="106">
        <f>IF(Calcs!AI52&gt;5000,"&gt; 5000",IF(Calcs!AI52&lt;Calcs!$B$11/2,0,Calcs!AI52))</f>
        <v>31.352901422562354</v>
      </c>
      <c r="F10" s="106" t="str">
        <f>IF(Calcs!AJ52&gt;5000,"&gt; 5000",IF(Calcs!AJ52&lt;Calcs!$B$11/2,0,Calcs!AJ52))</f>
        <v>&gt; 5000</v>
      </c>
      <c r="H10" s="131"/>
      <c r="I10" s="125"/>
      <c r="J10" s="125"/>
      <c r="K10" s="125"/>
      <c r="L10" s="125"/>
      <c r="M10" s="125"/>
      <c r="N10" s="125"/>
      <c r="O10" s="125"/>
      <c r="P10" s="125"/>
      <c r="Y10" s="125"/>
    </row>
    <row r="11" spans="1:25" x14ac:dyDescent="0.25">
      <c r="A11" s="121"/>
      <c r="B11" s="121"/>
      <c r="C11" s="121"/>
      <c r="D11" s="121"/>
      <c r="E11" s="121"/>
      <c r="F11" s="121"/>
      <c r="I11" s="125"/>
      <c r="J11" s="125"/>
      <c r="K11" s="125"/>
      <c r="L11" s="125"/>
      <c r="M11" s="125"/>
      <c r="N11" s="125"/>
      <c r="O11" s="125"/>
      <c r="P11" s="125"/>
      <c r="Y11" s="125"/>
    </row>
    <row r="12" spans="1:25" x14ac:dyDescent="0.25">
      <c r="A12" s="121"/>
      <c r="B12" s="185"/>
      <c r="C12" s="121"/>
      <c r="D12" s="185"/>
      <c r="E12" s="121"/>
      <c r="F12" s="185"/>
      <c r="I12" s="125"/>
      <c r="J12" s="125"/>
      <c r="K12" s="125"/>
      <c r="L12" s="125"/>
      <c r="M12" s="125"/>
      <c r="N12" s="125"/>
      <c r="O12" s="125"/>
      <c r="P12" s="125"/>
      <c r="Y12" s="125"/>
    </row>
    <row r="13" spans="1:25" x14ac:dyDescent="0.25">
      <c r="I13" s="125"/>
      <c r="J13" s="125"/>
      <c r="K13" s="125"/>
      <c r="L13" s="125"/>
      <c r="M13" s="125"/>
      <c r="N13" s="125"/>
      <c r="O13" s="125"/>
      <c r="P13" s="125"/>
      <c r="Y13" s="125"/>
    </row>
    <row r="14" spans="1:25" x14ac:dyDescent="0.25">
      <c r="A14" s="132"/>
      <c r="B14" s="132">
        <v>183</v>
      </c>
      <c r="C14" s="132">
        <v>219</v>
      </c>
      <c r="D14" s="132">
        <v>168</v>
      </c>
      <c r="E14" s="132">
        <v>213</v>
      </c>
      <c r="F14" s="136">
        <v>160</v>
      </c>
      <c r="G14" s="186"/>
      <c r="H14" s="133"/>
      <c r="I14" s="133"/>
      <c r="J14" s="125"/>
      <c r="K14" s="125"/>
      <c r="L14" s="125"/>
      <c r="M14" s="125"/>
      <c r="N14" s="125"/>
      <c r="O14" s="125"/>
      <c r="P14" s="125"/>
      <c r="Y14" s="125"/>
    </row>
    <row r="15" spans="1:25" x14ac:dyDescent="0.25">
      <c r="A15" s="132">
        <v>1</v>
      </c>
      <c r="B15" s="132">
        <v>183</v>
      </c>
      <c r="C15" s="132">
        <v>219</v>
      </c>
      <c r="D15" s="132">
        <v>168</v>
      </c>
      <c r="E15" s="132">
        <v>213</v>
      </c>
      <c r="F15" s="136">
        <v>160</v>
      </c>
      <c r="G15" s="186"/>
      <c r="H15" s="133"/>
      <c r="I15" s="133"/>
      <c r="J15" s="125"/>
      <c r="K15" s="125"/>
      <c r="L15" s="125"/>
      <c r="M15" s="125"/>
      <c r="N15" s="125"/>
      <c r="O15" s="125"/>
      <c r="P15" s="125"/>
      <c r="Y15" s="125"/>
    </row>
    <row r="16" spans="1:25" x14ac:dyDescent="0.25">
      <c r="A16" s="132">
        <v>5000</v>
      </c>
      <c r="B16" s="132">
        <v>183</v>
      </c>
      <c r="C16" s="132">
        <v>219</v>
      </c>
      <c r="D16" s="132">
        <v>168</v>
      </c>
      <c r="E16" s="132">
        <v>213</v>
      </c>
      <c r="F16" s="136">
        <v>160</v>
      </c>
      <c r="G16" s="186"/>
      <c r="H16" s="133"/>
      <c r="I16" s="133"/>
      <c r="J16" s="125"/>
      <c r="K16" s="125"/>
      <c r="L16" s="125"/>
      <c r="M16" s="125"/>
      <c r="N16" s="125"/>
      <c r="O16" s="125"/>
      <c r="P16" s="125"/>
    </row>
    <row r="17" spans="1:24" x14ac:dyDescent="0.25">
      <c r="A17" s="132"/>
      <c r="B17" s="132"/>
      <c r="C17" s="132"/>
      <c r="D17" s="132"/>
      <c r="E17" s="132"/>
      <c r="F17" s="132"/>
      <c r="G17" s="186"/>
      <c r="H17" s="133"/>
      <c r="I17" s="133"/>
      <c r="J17" s="125"/>
      <c r="K17" s="125"/>
      <c r="L17" s="125"/>
      <c r="M17" s="125"/>
      <c r="N17" s="125"/>
      <c r="O17" s="125"/>
      <c r="P17" s="125"/>
      <c r="Q17" s="135"/>
      <c r="R17" s="125"/>
      <c r="S17" s="125"/>
      <c r="T17" s="125"/>
      <c r="U17" s="125"/>
      <c r="V17" s="125"/>
      <c r="W17" s="125"/>
      <c r="X17" s="125"/>
    </row>
    <row r="18" spans="1:24" x14ac:dyDescent="0.25">
      <c r="A18" s="132"/>
      <c r="B18" s="132"/>
      <c r="C18" s="132"/>
      <c r="D18" s="132"/>
      <c r="E18" s="132"/>
      <c r="F18" s="132"/>
      <c r="G18" s="186"/>
      <c r="H18" s="133"/>
      <c r="I18" s="133"/>
    </row>
    <row r="19" spans="1:24" ht="15.75" thickBot="1" x14ac:dyDescent="0.3">
      <c r="A19" s="137" t="s">
        <v>172</v>
      </c>
      <c r="B19" s="138"/>
      <c r="C19" s="138"/>
    </row>
    <row r="20" spans="1:24" ht="15.75" thickBot="1" x14ac:dyDescent="0.3">
      <c r="A20" s="139" t="s">
        <v>73</v>
      </c>
      <c r="B20" s="140" t="s">
        <v>72</v>
      </c>
      <c r="C20" s="141" t="s">
        <v>70</v>
      </c>
    </row>
    <row r="21" spans="1:24" x14ac:dyDescent="0.25">
      <c r="A21" s="107" t="s">
        <v>2</v>
      </c>
      <c r="B21" s="100">
        <f>Calcs!B$7</f>
        <v>29</v>
      </c>
      <c r="C21" s="108" t="s">
        <v>3</v>
      </c>
      <c r="D21" s="163"/>
      <c r="J21" s="125"/>
      <c r="K21" s="125"/>
      <c r="L21" s="125"/>
      <c r="M21" s="125"/>
      <c r="N21" s="125"/>
      <c r="O21" s="125"/>
      <c r="P21" s="125"/>
      <c r="Q21" s="125"/>
      <c r="R21" s="125"/>
      <c r="S21" s="125"/>
      <c r="T21" s="125"/>
      <c r="U21" s="125"/>
      <c r="V21" s="125"/>
      <c r="W21" s="125"/>
      <c r="X21" s="125"/>
    </row>
    <row r="22" spans="1:24" ht="18" x14ac:dyDescent="0.25">
      <c r="A22" s="109" t="s">
        <v>106</v>
      </c>
      <c r="B22" s="101">
        <f>Calcs!B$8</f>
        <v>179</v>
      </c>
      <c r="C22" s="110" t="s">
        <v>10</v>
      </c>
      <c r="D22" s="143"/>
      <c r="I22" s="125"/>
      <c r="J22" s="125"/>
      <c r="K22" s="125"/>
      <c r="L22" s="125"/>
      <c r="M22" s="125"/>
      <c r="N22" s="125"/>
      <c r="O22" s="125"/>
      <c r="P22" s="125"/>
      <c r="Q22" s="125"/>
      <c r="R22" s="125"/>
      <c r="S22" s="125"/>
      <c r="T22" s="125"/>
      <c r="U22" s="125"/>
      <c r="V22" s="125"/>
      <c r="W22" s="125"/>
      <c r="X22" s="125"/>
    </row>
    <row r="23" spans="1:24" x14ac:dyDescent="0.25">
      <c r="A23" s="109" t="s">
        <v>16</v>
      </c>
      <c r="B23" s="101">
        <f>Calcs!B$9</f>
        <v>234</v>
      </c>
      <c r="C23" s="110" t="s">
        <v>9</v>
      </c>
      <c r="D23" s="144"/>
      <c r="I23" s="125"/>
      <c r="J23" s="125"/>
      <c r="K23" s="125"/>
      <c r="L23" s="125"/>
      <c r="M23" s="125"/>
      <c r="N23" s="125"/>
      <c r="O23" s="125"/>
      <c r="P23" s="125"/>
      <c r="Q23" s="125"/>
      <c r="R23" s="125"/>
      <c r="S23" s="125"/>
      <c r="T23" s="125"/>
      <c r="U23" s="125"/>
      <c r="V23" s="125"/>
      <c r="W23" s="125"/>
      <c r="X23" s="125"/>
    </row>
    <row r="24" spans="1:24" x14ac:dyDescent="0.25">
      <c r="A24" s="111" t="s">
        <v>108</v>
      </c>
      <c r="B24" s="101">
        <f>Calcs!B$10</f>
        <v>50</v>
      </c>
      <c r="C24" s="112" t="s">
        <v>165</v>
      </c>
      <c r="D24" s="144"/>
      <c r="I24" s="125"/>
      <c r="J24" s="125"/>
      <c r="K24" s="125"/>
      <c r="L24" s="125"/>
      <c r="M24" s="125"/>
      <c r="N24" s="125"/>
      <c r="O24" s="125"/>
      <c r="P24" s="125"/>
      <c r="Q24" s="125"/>
      <c r="R24" s="125"/>
      <c r="S24" s="125"/>
      <c r="T24" s="125"/>
      <c r="U24" s="125"/>
      <c r="V24" s="125"/>
      <c r="W24" s="125"/>
      <c r="X24" s="125"/>
    </row>
    <row r="25" spans="1:24" ht="15.75" thickBot="1" x14ac:dyDescent="0.3">
      <c r="A25" s="113" t="s">
        <v>91</v>
      </c>
      <c r="B25" s="102">
        <f>Calcs!B$11</f>
        <v>6</v>
      </c>
      <c r="C25" s="114" t="s">
        <v>9</v>
      </c>
      <c r="D25" s="144"/>
      <c r="I25" s="125"/>
      <c r="J25" s="125"/>
      <c r="K25" s="125"/>
      <c r="L25" s="125"/>
      <c r="M25" s="125"/>
      <c r="N25" s="125"/>
      <c r="O25" s="125"/>
      <c r="P25" s="125"/>
      <c r="Q25" s="125"/>
      <c r="R25" s="125"/>
      <c r="S25" s="125"/>
      <c r="T25" s="125"/>
      <c r="U25" s="125"/>
      <c r="V25" s="125"/>
      <c r="W25" s="125"/>
      <c r="X25" s="125"/>
    </row>
    <row r="26" spans="1:24" x14ac:dyDescent="0.25">
      <c r="A26" s="115" t="s">
        <v>0</v>
      </c>
      <c r="B26" s="103">
        <f>Calcs!B$13</f>
        <v>1500</v>
      </c>
      <c r="C26" s="116" t="s">
        <v>1</v>
      </c>
      <c r="D26" s="145"/>
      <c r="I26" s="125"/>
      <c r="J26" s="125"/>
      <c r="K26" s="125"/>
      <c r="L26" s="125"/>
      <c r="M26" s="125"/>
      <c r="N26" s="125"/>
      <c r="O26" s="125"/>
      <c r="P26" s="125"/>
      <c r="Q26" s="125"/>
      <c r="R26" s="125"/>
      <c r="S26" s="125"/>
      <c r="T26" s="125"/>
      <c r="U26" s="125"/>
      <c r="V26" s="125"/>
      <c r="W26" s="125"/>
      <c r="X26" s="125"/>
    </row>
    <row r="27" spans="1:24" ht="17.25" x14ac:dyDescent="0.25">
      <c r="A27" s="117" t="s">
        <v>22</v>
      </c>
      <c r="B27" s="104">
        <f>Calcs!B$14</f>
        <v>1029</v>
      </c>
      <c r="C27" s="118" t="s">
        <v>166</v>
      </c>
      <c r="D27" s="146"/>
      <c r="I27" s="125"/>
      <c r="J27" s="125"/>
      <c r="K27" s="125"/>
      <c r="L27" s="125"/>
      <c r="M27" s="125"/>
      <c r="N27" s="125"/>
      <c r="O27" s="125"/>
      <c r="P27" s="125"/>
      <c r="Q27" s="125"/>
      <c r="R27" s="125"/>
      <c r="S27" s="125"/>
      <c r="T27" s="125"/>
      <c r="U27" s="125"/>
      <c r="V27" s="125"/>
      <c r="W27" s="125"/>
      <c r="X27" s="125"/>
    </row>
    <row r="28" spans="1:24" x14ac:dyDescent="0.25">
      <c r="A28" s="117" t="s">
        <v>104</v>
      </c>
      <c r="B28" s="104">
        <f>Calcs!B$15</f>
        <v>1.5</v>
      </c>
      <c r="C28" s="118" t="s">
        <v>4</v>
      </c>
      <c r="D28" s="146"/>
      <c r="I28" s="125"/>
      <c r="J28" s="125"/>
      <c r="K28" s="125"/>
      <c r="L28" s="125"/>
      <c r="M28" s="125"/>
      <c r="N28" s="125"/>
      <c r="O28" s="125"/>
      <c r="P28" s="125"/>
      <c r="Q28" s="125"/>
      <c r="R28" s="125"/>
      <c r="S28" s="125"/>
      <c r="T28" s="125"/>
      <c r="U28" s="125"/>
      <c r="V28" s="125"/>
      <c r="W28" s="125"/>
      <c r="X28" s="125"/>
    </row>
    <row r="29" spans="1:24" x14ac:dyDescent="0.25">
      <c r="A29" s="117" t="s">
        <v>5</v>
      </c>
      <c r="B29" s="104">
        <f>Calcs!B$16</f>
        <v>0.27829999999999999</v>
      </c>
      <c r="C29" s="118" t="s">
        <v>6</v>
      </c>
      <c r="D29" s="146"/>
      <c r="H29" s="131"/>
      <c r="I29" s="125"/>
      <c r="J29" s="125"/>
      <c r="K29" s="125"/>
      <c r="L29" s="125"/>
      <c r="M29" s="125"/>
      <c r="N29" s="125"/>
      <c r="O29" s="125"/>
      <c r="P29" s="125"/>
      <c r="Q29" s="125"/>
      <c r="R29" s="125"/>
      <c r="S29" s="125"/>
      <c r="T29" s="125"/>
      <c r="U29" s="125"/>
      <c r="V29" s="125"/>
      <c r="W29" s="125"/>
      <c r="X29" s="125"/>
    </row>
    <row r="30" spans="1:24" ht="15.75" thickBot="1" x14ac:dyDescent="0.3">
      <c r="A30" s="119" t="s">
        <v>11</v>
      </c>
      <c r="B30" s="105">
        <f>Calcs!B$17</f>
        <v>17</v>
      </c>
      <c r="C30" s="120" t="s">
        <v>12</v>
      </c>
      <c r="D30" s="146"/>
      <c r="I30" s="125"/>
      <c r="J30" s="125"/>
      <c r="K30" s="125"/>
      <c r="L30" s="125"/>
      <c r="M30" s="125"/>
      <c r="N30" s="125"/>
      <c r="O30" s="125"/>
      <c r="P30" s="125"/>
      <c r="Q30" s="125"/>
      <c r="R30" s="125"/>
      <c r="S30" s="125"/>
      <c r="T30" s="125"/>
      <c r="U30" s="125"/>
      <c r="V30" s="125"/>
      <c r="W30" s="125"/>
      <c r="X30" s="125"/>
    </row>
    <row r="31" spans="1:24" x14ac:dyDescent="0.25">
      <c r="A31" s="142"/>
      <c r="B31" s="146"/>
      <c r="C31" s="146"/>
      <c r="D31" s="146"/>
      <c r="E31" s="142"/>
      <c r="I31" s="125"/>
      <c r="J31" s="125"/>
      <c r="K31" s="125"/>
      <c r="L31" s="125"/>
      <c r="M31" s="125"/>
      <c r="N31" s="125"/>
      <c r="O31" s="125"/>
    </row>
    <row r="32" spans="1:24" x14ac:dyDescent="0.25">
      <c r="A32" s="142"/>
      <c r="B32" s="147"/>
      <c r="C32" s="148"/>
      <c r="D32" s="149"/>
      <c r="E32" s="142"/>
      <c r="I32" s="125"/>
      <c r="J32" s="125"/>
      <c r="K32" s="125"/>
      <c r="L32" s="125"/>
      <c r="M32" s="125"/>
      <c r="N32" s="125"/>
      <c r="O32" s="125"/>
    </row>
    <row r="33" spans="1:24" x14ac:dyDescent="0.25">
      <c r="A33" s="142"/>
      <c r="B33" s="142"/>
      <c r="C33" s="142"/>
      <c r="D33" s="142"/>
      <c r="E33" s="142"/>
      <c r="I33" s="125"/>
      <c r="J33" s="125"/>
      <c r="K33" s="125"/>
      <c r="L33" s="125"/>
      <c r="M33" s="125"/>
      <c r="N33" s="125"/>
      <c r="O33" s="125"/>
    </row>
    <row r="34" spans="1:24" x14ac:dyDescent="0.25">
      <c r="I34" s="125"/>
      <c r="J34" s="125"/>
      <c r="K34" s="125"/>
      <c r="L34" s="125"/>
      <c r="M34" s="125"/>
      <c r="N34" s="125"/>
      <c r="O34" s="125"/>
    </row>
    <row r="35" spans="1:24" x14ac:dyDescent="0.25">
      <c r="I35" s="125"/>
      <c r="J35" s="125"/>
      <c r="K35" s="125"/>
      <c r="L35" s="125"/>
      <c r="M35" s="125"/>
      <c r="N35" s="125"/>
      <c r="O35" s="125"/>
    </row>
    <row r="36" spans="1:24" x14ac:dyDescent="0.25">
      <c r="I36" s="125"/>
      <c r="J36" s="125"/>
      <c r="K36" s="125"/>
      <c r="L36" s="125"/>
      <c r="M36" s="125"/>
      <c r="N36" s="125"/>
      <c r="O36" s="125"/>
    </row>
    <row r="37" spans="1:24" x14ac:dyDescent="0.25">
      <c r="I37" s="125"/>
    </row>
    <row r="41" spans="1:24" x14ac:dyDescent="0.25">
      <c r="X41" s="125"/>
    </row>
    <row r="42" spans="1:24" x14ac:dyDescent="0.25">
      <c r="X42" s="125"/>
    </row>
    <row r="43" spans="1:24" x14ac:dyDescent="0.25">
      <c r="X43" s="125"/>
    </row>
    <row r="44" spans="1:24" x14ac:dyDescent="0.25">
      <c r="X44" s="125"/>
    </row>
    <row r="45" spans="1:24" x14ac:dyDescent="0.25">
      <c r="X45" s="125"/>
    </row>
    <row r="46" spans="1:24" ht="15.75" thickBot="1" x14ac:dyDescent="0.3">
      <c r="H46" s="150"/>
      <c r="I46" s="149"/>
      <c r="J46" s="149"/>
      <c r="K46" s="149"/>
      <c r="L46" s="149"/>
      <c r="M46" s="149"/>
      <c r="N46" s="149"/>
      <c r="O46" s="149"/>
      <c r="Q46" s="125"/>
      <c r="R46" s="125"/>
      <c r="S46" s="125"/>
      <c r="T46" s="125"/>
      <c r="U46" s="125"/>
      <c r="V46" s="125"/>
      <c r="W46" s="125"/>
    </row>
    <row r="47" spans="1:24" x14ac:dyDescent="0.25">
      <c r="H47" s="150"/>
      <c r="I47" s="151"/>
      <c r="J47" s="151"/>
      <c r="K47" s="149"/>
      <c r="L47" s="149"/>
      <c r="M47" s="149"/>
      <c r="N47" s="149"/>
      <c r="O47" s="149"/>
      <c r="Q47" s="152" t="s">
        <v>173</v>
      </c>
      <c r="R47" s="153"/>
      <c r="S47" s="153"/>
      <c r="T47" s="153"/>
      <c r="U47" s="153"/>
      <c r="V47" s="153"/>
      <c r="W47" s="154"/>
    </row>
    <row r="48" spans="1:24" x14ac:dyDescent="0.25">
      <c r="H48" s="150"/>
      <c r="I48" s="149"/>
      <c r="J48" s="149"/>
      <c r="K48" s="149"/>
      <c r="L48" s="149"/>
      <c r="M48" s="149"/>
      <c r="N48" s="149"/>
      <c r="O48" s="149"/>
      <c r="Q48" s="333" t="s">
        <v>209</v>
      </c>
      <c r="R48" s="334"/>
      <c r="S48" s="334"/>
      <c r="T48" s="334"/>
      <c r="U48" s="334"/>
      <c r="V48" s="334"/>
      <c r="W48" s="335"/>
    </row>
    <row r="49" spans="8:23" x14ac:dyDescent="0.25">
      <c r="H49" s="150"/>
      <c r="I49" s="149"/>
      <c r="J49" s="149"/>
      <c r="K49" s="149"/>
      <c r="L49" s="149"/>
      <c r="M49" s="149"/>
      <c r="N49" s="149"/>
      <c r="O49" s="149"/>
      <c r="Q49" s="333"/>
      <c r="R49" s="334"/>
      <c r="S49" s="334"/>
      <c r="T49" s="334"/>
      <c r="U49" s="334"/>
      <c r="V49" s="334"/>
      <c r="W49" s="335"/>
    </row>
    <row r="50" spans="8:23" x14ac:dyDescent="0.25">
      <c r="H50" s="150"/>
      <c r="I50" s="149"/>
      <c r="J50" s="149"/>
      <c r="K50" s="149"/>
      <c r="L50" s="149"/>
      <c r="M50" s="149"/>
      <c r="N50" s="149"/>
      <c r="O50" s="149"/>
      <c r="Q50" s="155"/>
      <c r="R50" s="156"/>
      <c r="S50" s="156"/>
      <c r="T50" s="156"/>
      <c r="U50" s="156"/>
      <c r="V50" s="156"/>
      <c r="W50" s="157"/>
    </row>
    <row r="51" spans="8:23" ht="15.75" thickBot="1" x14ac:dyDescent="0.3">
      <c r="H51" s="150"/>
      <c r="I51" s="151"/>
      <c r="J51" s="151"/>
      <c r="K51" s="149"/>
      <c r="L51" s="149"/>
      <c r="M51" s="149"/>
      <c r="N51" s="149"/>
      <c r="O51" s="149"/>
      <c r="Q51" s="158"/>
      <c r="R51" s="159"/>
      <c r="S51" s="159"/>
      <c r="T51" s="159"/>
      <c r="U51" s="159"/>
      <c r="V51" s="159"/>
      <c r="W51" s="160"/>
    </row>
    <row r="52" spans="8:23" x14ac:dyDescent="0.25">
      <c r="H52" s="150"/>
      <c r="I52" s="149"/>
      <c r="J52" s="149"/>
      <c r="K52" s="149"/>
      <c r="L52" s="149"/>
      <c r="M52" s="149"/>
      <c r="N52" s="149"/>
      <c r="O52" s="149"/>
    </row>
    <row r="53" spans="8:23" x14ac:dyDescent="0.25">
      <c r="H53" s="150"/>
      <c r="I53" s="149"/>
      <c r="J53" s="149"/>
      <c r="K53" s="149"/>
      <c r="L53" s="149"/>
      <c r="M53" s="149"/>
      <c r="N53" s="149"/>
      <c r="O53" s="149"/>
    </row>
    <row r="54" spans="8:23" x14ac:dyDescent="0.25">
      <c r="H54" s="150"/>
      <c r="I54" s="150"/>
      <c r="J54" s="149"/>
      <c r="K54" s="149"/>
      <c r="L54" s="149"/>
      <c r="M54" s="149"/>
      <c r="N54" s="149"/>
      <c r="O54" s="149"/>
    </row>
    <row r="55" spans="8:23" x14ac:dyDescent="0.25">
      <c r="H55" s="150"/>
      <c r="I55" s="149"/>
      <c r="J55" s="150"/>
      <c r="K55" s="150"/>
      <c r="L55" s="150"/>
      <c r="M55" s="150"/>
      <c r="N55" s="150"/>
      <c r="O55" s="150"/>
    </row>
    <row r="56" spans="8:23" x14ac:dyDescent="0.25">
      <c r="H56" s="150"/>
      <c r="I56" s="150"/>
      <c r="J56" s="150"/>
      <c r="K56" s="150"/>
      <c r="L56" s="150"/>
      <c r="M56" s="150"/>
      <c r="N56" s="150"/>
      <c r="O56" s="150"/>
    </row>
  </sheetData>
  <sheetProtection algorithmName="SHA-512" hashValue="9S/L+6C7f4vf4FqXqp12+2lb/UdOyfd2rRJuBLjPYwRNLIi/oQRzTMDxlnet9Q+QIgk4FX5NgO63oJwewasXWw==" saltValue="kIKMf4fm42H6cbdXnV9gFg==" spinCount="100000" sheet="1" objects="1" scenarios="1"/>
  <mergeCells count="8">
    <mergeCell ref="Q48:W49"/>
    <mergeCell ref="A1:D1"/>
    <mergeCell ref="F1:I1"/>
    <mergeCell ref="A9:F9"/>
    <mergeCell ref="A3:A6"/>
    <mergeCell ref="B4:C4"/>
    <mergeCell ref="D4:E4"/>
    <mergeCell ref="B3:E3"/>
  </mergeCells>
  <pageMargins left="0.7" right="0.7" top="0.75" bottom="0.75" header="0.3" footer="0.3"/>
  <pageSetup paperSize="17" scale="78" orientation="landscape"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5440B-E32E-48F7-A710-CF9DDA2FADB2}">
  <sheetPr>
    <pageSetUpPr fitToPage="1"/>
  </sheetPr>
  <dimension ref="A1:X52"/>
  <sheetViews>
    <sheetView showGridLines="0" zoomScaleNormal="100" workbookViewId="0">
      <selection activeCell="I28" sqref="I28"/>
    </sheetView>
  </sheetViews>
  <sheetFormatPr defaultColWidth="9.140625" defaultRowHeight="15" x14ac:dyDescent="0.25"/>
  <cols>
    <col min="1" max="1" width="14.28515625" style="129" customWidth="1"/>
    <col min="2" max="6" width="12" style="129" customWidth="1"/>
    <col min="7" max="20" width="10.5703125" style="122" customWidth="1"/>
    <col min="21" max="16384" width="9.140625" style="122"/>
  </cols>
  <sheetData>
    <row r="1" spans="1:24"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4" ht="15" customHeight="1" x14ac:dyDescent="0.25">
      <c r="A2" s="123"/>
      <c r="B2" s="123"/>
      <c r="C2" s="123"/>
      <c r="D2" s="123"/>
      <c r="E2" s="121"/>
      <c r="F2" s="123"/>
      <c r="G2" s="123"/>
      <c r="H2" s="123"/>
      <c r="I2" s="123"/>
    </row>
    <row r="3" spans="1:24" ht="15" customHeight="1" x14ac:dyDescent="0.25">
      <c r="A3" s="348" t="s">
        <v>93</v>
      </c>
      <c r="B3" s="351" t="s">
        <v>103</v>
      </c>
      <c r="C3" s="352"/>
      <c r="D3" s="352"/>
      <c r="E3" s="353"/>
      <c r="F3" s="124" t="s">
        <v>206</v>
      </c>
      <c r="H3" s="125"/>
      <c r="I3" s="125"/>
      <c r="J3" s="125"/>
      <c r="K3" s="125"/>
      <c r="L3" s="125"/>
      <c r="M3" s="125"/>
      <c r="N3" s="125"/>
      <c r="O3" s="125"/>
      <c r="P3" s="125"/>
      <c r="Q3" s="125"/>
      <c r="R3" s="125"/>
      <c r="S3" s="125"/>
      <c r="T3" s="125"/>
      <c r="U3" s="125"/>
      <c r="V3" s="125"/>
      <c r="W3" s="125"/>
    </row>
    <row r="4" spans="1:24" ht="15" customHeight="1" x14ac:dyDescent="0.25">
      <c r="A4" s="348"/>
      <c r="B4" s="348" t="s">
        <v>76</v>
      </c>
      <c r="C4" s="348"/>
      <c r="D4" s="348" t="s">
        <v>77</v>
      </c>
      <c r="E4" s="348"/>
      <c r="F4" s="126" t="s">
        <v>75</v>
      </c>
      <c r="H4" s="125"/>
      <c r="I4" s="125"/>
      <c r="J4" s="125"/>
      <c r="K4" s="125"/>
      <c r="L4" s="125"/>
      <c r="M4" s="125"/>
      <c r="N4" s="125"/>
      <c r="O4" s="125"/>
      <c r="P4" s="125"/>
      <c r="Q4" s="125"/>
      <c r="R4" s="125"/>
      <c r="S4" s="125"/>
      <c r="T4" s="125"/>
      <c r="U4" s="125"/>
      <c r="V4" s="125"/>
      <c r="W4" s="125"/>
    </row>
    <row r="5" spans="1:24" x14ac:dyDescent="0.25">
      <c r="A5" s="348"/>
      <c r="B5" s="126" t="s">
        <v>143</v>
      </c>
      <c r="C5" s="126" t="s">
        <v>144</v>
      </c>
      <c r="D5" s="126" t="s">
        <v>145</v>
      </c>
      <c r="E5" s="126" t="s">
        <v>96</v>
      </c>
      <c r="F5" s="126" t="s">
        <v>97</v>
      </c>
      <c r="H5" s="125"/>
      <c r="I5" s="125"/>
      <c r="J5" s="125"/>
      <c r="K5" s="125"/>
      <c r="L5" s="125"/>
      <c r="M5" s="125"/>
      <c r="N5" s="125"/>
      <c r="O5" s="125"/>
      <c r="P5" s="125"/>
      <c r="Q5" s="125"/>
      <c r="R5" s="125"/>
      <c r="S5" s="125"/>
      <c r="T5" s="125"/>
      <c r="U5" s="125"/>
      <c r="V5" s="125"/>
      <c r="W5" s="125"/>
    </row>
    <row r="6" spans="1:24" ht="25.5" x14ac:dyDescent="0.25">
      <c r="A6" s="348"/>
      <c r="B6" s="126" t="s">
        <v>146</v>
      </c>
      <c r="C6" s="126" t="s">
        <v>78</v>
      </c>
      <c r="D6" s="126" t="s">
        <v>147</v>
      </c>
      <c r="E6" s="126" t="s">
        <v>78</v>
      </c>
      <c r="F6" s="126" t="s">
        <v>78</v>
      </c>
      <c r="H6" s="125"/>
      <c r="I6" s="125"/>
      <c r="J6" s="125"/>
      <c r="K6" s="125"/>
      <c r="L6" s="125"/>
      <c r="M6" s="125"/>
      <c r="N6" s="125"/>
      <c r="O6" s="125"/>
      <c r="P6" s="125"/>
      <c r="Q6" s="125"/>
      <c r="R6" s="125"/>
      <c r="S6" s="125"/>
      <c r="T6" s="125"/>
      <c r="U6" s="125"/>
      <c r="V6" s="125"/>
      <c r="W6" s="125"/>
    </row>
    <row r="7" spans="1:24" ht="25.5" x14ac:dyDescent="0.25">
      <c r="A7" s="176" t="s">
        <v>80</v>
      </c>
      <c r="B7" s="177">
        <v>185</v>
      </c>
      <c r="C7" s="177">
        <v>230</v>
      </c>
      <c r="D7" s="177">
        <v>170</v>
      </c>
      <c r="E7" s="177">
        <v>224</v>
      </c>
      <c r="F7" s="177">
        <v>160</v>
      </c>
      <c r="H7" s="125"/>
      <c r="I7" s="125"/>
      <c r="J7" s="125"/>
      <c r="K7" s="125"/>
      <c r="L7" s="125"/>
      <c r="M7" s="125"/>
      <c r="N7" s="125"/>
      <c r="O7" s="125"/>
      <c r="P7" s="125"/>
      <c r="Q7" s="125"/>
      <c r="R7" s="125"/>
      <c r="S7" s="125"/>
      <c r="T7" s="125"/>
      <c r="U7" s="125"/>
      <c r="V7" s="125"/>
      <c r="W7" s="125"/>
    </row>
    <row r="8" spans="1:24" ht="15.75" thickBot="1" x14ac:dyDescent="0.3">
      <c r="H8" s="125"/>
      <c r="I8" s="125"/>
      <c r="J8" s="125"/>
      <c r="K8" s="125"/>
      <c r="L8" s="125"/>
      <c r="M8" s="125"/>
      <c r="N8" s="125"/>
      <c r="O8" s="125"/>
      <c r="P8" s="125"/>
      <c r="Q8" s="125"/>
      <c r="R8" s="125"/>
      <c r="S8" s="125"/>
      <c r="T8" s="125"/>
      <c r="U8" s="125"/>
      <c r="V8" s="125"/>
      <c r="W8" s="125"/>
      <c r="X8" s="125"/>
    </row>
    <row r="9" spans="1:24" ht="15.75" thickBot="1" x14ac:dyDescent="0.3">
      <c r="A9" s="345" t="s">
        <v>111</v>
      </c>
      <c r="B9" s="346"/>
      <c r="C9" s="346"/>
      <c r="D9" s="346"/>
      <c r="E9" s="346"/>
      <c r="F9" s="347"/>
      <c r="H9" s="125"/>
      <c r="I9" s="125"/>
      <c r="J9" s="125"/>
      <c r="K9" s="125"/>
      <c r="L9" s="125"/>
      <c r="M9" s="125"/>
      <c r="N9" s="125"/>
      <c r="O9" s="125"/>
      <c r="P9" s="125"/>
      <c r="Q9" s="125"/>
      <c r="R9" s="125"/>
      <c r="S9" s="125"/>
      <c r="T9" s="125"/>
      <c r="U9" s="125"/>
      <c r="V9" s="125"/>
      <c r="W9" s="125"/>
      <c r="X9" s="125"/>
    </row>
    <row r="10" spans="1:24" ht="25.5" x14ac:dyDescent="0.25">
      <c r="A10" s="178" t="s">
        <v>80</v>
      </c>
      <c r="B10" s="106">
        <f>IF(Calcs!AL52&gt;5000,"&gt; 5000",IF(Calcs!AL52&lt;Calcs!$B$11/2,0,Calcs!AL52))</f>
        <v>33.324480671468955</v>
      </c>
      <c r="C10" s="106">
        <f>IF(Calcs!AO52&gt;5000,"&gt; 5000",IF(Calcs!AO52&lt;Calcs!$B$11/2,0,Calcs!AO52))</f>
        <v>0</v>
      </c>
      <c r="D10" s="106">
        <f>IF(Calcs!AN52&gt;5000,"&gt; 5000",IF(Calcs!AN52&lt;Calcs!$B$11/2,0,Calcs!AN52))</f>
        <v>830.22791524956938</v>
      </c>
      <c r="E10" s="106">
        <f>IF(Calcs!AP52&gt;5000,"&gt; 5000",IF(Calcs!AP52&lt;Calcs!$B$11/2,0,Calcs!AP52))</f>
        <v>3.8265398442332086</v>
      </c>
      <c r="F10" s="106" t="str">
        <f>IF(Calcs!AQ52&gt;5000,"&gt; 5000",IF(Calcs!AQ52&lt;Calcs!$B$11/2,0,Calcs!AQ52))</f>
        <v>&gt; 5000</v>
      </c>
      <c r="G10" s="131"/>
      <c r="H10" s="125"/>
      <c r="I10" s="125"/>
      <c r="J10" s="125"/>
      <c r="K10" s="125"/>
      <c r="L10" s="125"/>
      <c r="M10" s="125"/>
      <c r="N10" s="125"/>
      <c r="O10" s="125"/>
      <c r="X10" s="125"/>
    </row>
    <row r="11" spans="1:24" x14ac:dyDescent="0.25">
      <c r="H11" s="125"/>
      <c r="I11" s="125"/>
      <c r="J11" s="125"/>
      <c r="K11" s="125"/>
      <c r="L11" s="125"/>
      <c r="M11" s="125"/>
      <c r="N11" s="125"/>
      <c r="O11" s="125"/>
      <c r="X11" s="125"/>
    </row>
    <row r="12" spans="1:24" x14ac:dyDescent="0.25">
      <c r="B12" s="179"/>
      <c r="D12" s="179"/>
      <c r="F12" s="179"/>
      <c r="H12" s="125"/>
      <c r="I12" s="125"/>
      <c r="J12" s="125"/>
      <c r="K12" s="125"/>
      <c r="L12" s="125"/>
      <c r="M12" s="125"/>
      <c r="N12" s="125"/>
      <c r="O12" s="125"/>
      <c r="X12" s="125"/>
    </row>
    <row r="13" spans="1:24" x14ac:dyDescent="0.25">
      <c r="H13" s="125"/>
      <c r="I13" s="125"/>
      <c r="J13" s="125"/>
      <c r="K13" s="125"/>
      <c r="L13" s="125"/>
      <c r="M13" s="125"/>
      <c r="N13" s="125"/>
      <c r="O13" s="125"/>
      <c r="X13" s="125"/>
    </row>
    <row r="14" spans="1:24" x14ac:dyDescent="0.25">
      <c r="A14" s="132"/>
      <c r="B14" s="132">
        <v>185</v>
      </c>
      <c r="C14" s="132">
        <v>230</v>
      </c>
      <c r="D14" s="132">
        <v>170</v>
      </c>
      <c r="E14" s="132">
        <v>224</v>
      </c>
      <c r="F14" s="132">
        <v>160</v>
      </c>
      <c r="G14" s="133"/>
      <c r="H14" s="133"/>
      <c r="I14" s="133"/>
      <c r="J14" s="125"/>
      <c r="K14" s="125"/>
      <c r="L14" s="125"/>
      <c r="M14" s="125"/>
      <c r="N14" s="125"/>
      <c r="O14" s="125"/>
      <c r="X14" s="125"/>
    </row>
    <row r="15" spans="1:24" x14ac:dyDescent="0.25">
      <c r="A15" s="132">
        <v>1</v>
      </c>
      <c r="B15" s="132">
        <v>185</v>
      </c>
      <c r="C15" s="132">
        <v>230</v>
      </c>
      <c r="D15" s="132">
        <v>170</v>
      </c>
      <c r="E15" s="132">
        <v>224</v>
      </c>
      <c r="F15" s="132">
        <v>160</v>
      </c>
      <c r="G15" s="133"/>
      <c r="H15" s="133"/>
      <c r="I15" s="133"/>
      <c r="J15" s="125"/>
      <c r="K15" s="125"/>
      <c r="L15" s="125"/>
      <c r="M15" s="125"/>
      <c r="N15" s="125"/>
      <c r="O15" s="125"/>
      <c r="X15" s="125"/>
    </row>
    <row r="16" spans="1:24" x14ac:dyDescent="0.25">
      <c r="A16" s="132">
        <v>5000</v>
      </c>
      <c r="B16" s="132">
        <v>185</v>
      </c>
      <c r="C16" s="132">
        <v>230</v>
      </c>
      <c r="D16" s="132">
        <v>170</v>
      </c>
      <c r="E16" s="132">
        <v>224</v>
      </c>
      <c r="F16" s="132">
        <v>160</v>
      </c>
      <c r="G16" s="133"/>
      <c r="H16" s="133"/>
      <c r="I16" s="133"/>
      <c r="J16" s="125"/>
      <c r="K16" s="125"/>
      <c r="L16" s="125"/>
      <c r="M16" s="125"/>
      <c r="N16" s="125"/>
      <c r="O16" s="125"/>
    </row>
    <row r="17" spans="1:23" x14ac:dyDescent="0.25">
      <c r="A17" s="132"/>
      <c r="B17" s="132"/>
      <c r="C17" s="132"/>
      <c r="D17" s="132"/>
      <c r="E17" s="132"/>
      <c r="F17" s="132"/>
      <c r="G17" s="133"/>
      <c r="H17" s="133"/>
      <c r="I17" s="133"/>
      <c r="J17" s="125"/>
      <c r="K17" s="125"/>
      <c r="L17" s="125"/>
      <c r="M17" s="125"/>
      <c r="N17" s="125"/>
      <c r="O17" s="125"/>
      <c r="P17" s="135"/>
      <c r="Q17" s="125"/>
      <c r="R17" s="125"/>
      <c r="S17" s="125"/>
      <c r="T17" s="125"/>
      <c r="U17" s="125"/>
      <c r="V17" s="125"/>
      <c r="W17" s="125"/>
    </row>
    <row r="18" spans="1:23" x14ac:dyDescent="0.25">
      <c r="A18" s="132"/>
      <c r="B18" s="132"/>
      <c r="C18" s="132"/>
      <c r="D18" s="132"/>
      <c r="E18" s="132"/>
      <c r="F18" s="132"/>
      <c r="G18" s="133"/>
      <c r="H18" s="133"/>
      <c r="I18" s="133"/>
    </row>
    <row r="19" spans="1:23" ht="15.75" thickBot="1" x14ac:dyDescent="0.3">
      <c r="A19" s="137" t="s">
        <v>172</v>
      </c>
      <c r="B19" s="138"/>
      <c r="C19" s="138"/>
    </row>
    <row r="20" spans="1:23" ht="15.75" thickBot="1" x14ac:dyDescent="0.3">
      <c r="A20" s="139" t="s">
        <v>73</v>
      </c>
      <c r="B20" s="140" t="s">
        <v>72</v>
      </c>
      <c r="C20" s="141" t="s">
        <v>70</v>
      </c>
    </row>
    <row r="21" spans="1:23" x14ac:dyDescent="0.25">
      <c r="A21" s="107" t="s">
        <v>2</v>
      </c>
      <c r="B21" s="100">
        <f>Calcs!B$7</f>
        <v>29</v>
      </c>
      <c r="C21" s="108" t="s">
        <v>3</v>
      </c>
      <c r="D21" s="142"/>
      <c r="J21" s="125"/>
      <c r="K21" s="125"/>
      <c r="L21" s="125"/>
      <c r="M21" s="125"/>
      <c r="N21" s="125"/>
      <c r="O21" s="125"/>
      <c r="P21" s="125"/>
      <c r="Q21" s="125"/>
      <c r="R21" s="125"/>
      <c r="S21" s="125"/>
      <c r="T21" s="125"/>
      <c r="U21" s="125"/>
      <c r="V21" s="125"/>
      <c r="W21" s="125"/>
    </row>
    <row r="22" spans="1:23" ht="18" x14ac:dyDescent="0.25">
      <c r="A22" s="109" t="s">
        <v>106</v>
      </c>
      <c r="B22" s="101">
        <f>Calcs!B$8</f>
        <v>179</v>
      </c>
      <c r="C22" s="110" t="s">
        <v>10</v>
      </c>
      <c r="D22" s="143"/>
      <c r="H22" s="125"/>
      <c r="I22" s="125"/>
      <c r="J22" s="125"/>
      <c r="K22" s="125"/>
      <c r="L22" s="125"/>
      <c r="M22" s="125"/>
      <c r="N22" s="125"/>
      <c r="O22" s="125"/>
      <c r="P22" s="125"/>
      <c r="Q22" s="125"/>
      <c r="R22" s="125"/>
      <c r="S22" s="125"/>
      <c r="T22" s="125"/>
      <c r="U22" s="125"/>
      <c r="V22" s="125"/>
      <c r="W22" s="125"/>
    </row>
    <row r="23" spans="1:23" x14ac:dyDescent="0.25">
      <c r="A23" s="109" t="s">
        <v>16</v>
      </c>
      <c r="B23" s="101">
        <f>Calcs!B$9</f>
        <v>234</v>
      </c>
      <c r="C23" s="110" t="s">
        <v>9</v>
      </c>
      <c r="D23" s="144"/>
      <c r="H23" s="125"/>
      <c r="I23" s="125"/>
      <c r="J23" s="125"/>
      <c r="K23" s="125"/>
      <c r="L23" s="125"/>
      <c r="M23" s="125"/>
      <c r="N23" s="125"/>
      <c r="O23" s="125"/>
      <c r="P23" s="125"/>
      <c r="Q23" s="125"/>
      <c r="R23" s="125"/>
      <c r="S23" s="125"/>
      <c r="T23" s="125"/>
      <c r="U23" s="125"/>
      <c r="V23" s="125"/>
      <c r="W23" s="125"/>
    </row>
    <row r="24" spans="1:23" x14ac:dyDescent="0.25">
      <c r="A24" s="111" t="s">
        <v>108</v>
      </c>
      <c r="B24" s="101">
        <f>Calcs!B$10</f>
        <v>50</v>
      </c>
      <c r="C24" s="112" t="s">
        <v>165</v>
      </c>
      <c r="D24" s="144"/>
      <c r="H24" s="125"/>
      <c r="I24" s="125"/>
      <c r="J24" s="125"/>
      <c r="K24" s="125"/>
      <c r="L24" s="125"/>
      <c r="M24" s="125"/>
      <c r="N24" s="125"/>
      <c r="O24" s="125"/>
      <c r="P24" s="125"/>
      <c r="Q24" s="125"/>
      <c r="R24" s="125"/>
      <c r="S24" s="125"/>
      <c r="T24" s="125"/>
      <c r="U24" s="125"/>
      <c r="V24" s="125"/>
      <c r="W24" s="125"/>
    </row>
    <row r="25" spans="1:23" ht="15.75" thickBot="1" x14ac:dyDescent="0.3">
      <c r="A25" s="113" t="s">
        <v>91</v>
      </c>
      <c r="B25" s="102">
        <f>Calcs!B$11</f>
        <v>6</v>
      </c>
      <c r="C25" s="114" t="s">
        <v>9</v>
      </c>
      <c r="D25" s="144"/>
      <c r="H25" s="125"/>
      <c r="I25" s="125"/>
      <c r="J25" s="125"/>
      <c r="K25" s="125"/>
      <c r="L25" s="125"/>
      <c r="M25" s="125"/>
      <c r="N25" s="125"/>
      <c r="O25" s="125"/>
      <c r="P25" s="125"/>
      <c r="Q25" s="125"/>
      <c r="R25" s="125"/>
      <c r="S25" s="125"/>
      <c r="T25" s="125"/>
      <c r="U25" s="125"/>
      <c r="V25" s="125"/>
      <c r="W25" s="125"/>
    </row>
    <row r="26" spans="1:23" x14ac:dyDescent="0.25">
      <c r="A26" s="115" t="s">
        <v>0</v>
      </c>
      <c r="B26" s="103">
        <f>Calcs!B$13</f>
        <v>1500</v>
      </c>
      <c r="C26" s="116" t="s">
        <v>1</v>
      </c>
      <c r="D26" s="145"/>
      <c r="H26" s="125"/>
      <c r="I26" s="125"/>
      <c r="J26" s="125"/>
      <c r="K26" s="125"/>
      <c r="L26" s="125"/>
      <c r="M26" s="125"/>
      <c r="N26" s="125"/>
      <c r="O26" s="125"/>
      <c r="P26" s="125"/>
      <c r="Q26" s="125"/>
      <c r="R26" s="125"/>
      <c r="S26" s="125"/>
      <c r="T26" s="125"/>
      <c r="U26" s="125"/>
      <c r="V26" s="125"/>
      <c r="W26" s="125"/>
    </row>
    <row r="27" spans="1:23" ht="17.25" x14ac:dyDescent="0.25">
      <c r="A27" s="117" t="s">
        <v>22</v>
      </c>
      <c r="B27" s="104">
        <f>Calcs!B$14</f>
        <v>1029</v>
      </c>
      <c r="C27" s="118" t="s">
        <v>166</v>
      </c>
      <c r="D27" s="146"/>
      <c r="H27" s="125"/>
      <c r="I27" s="125"/>
      <c r="J27" s="125"/>
      <c r="K27" s="125"/>
      <c r="L27" s="125"/>
      <c r="M27" s="125"/>
      <c r="N27" s="125"/>
      <c r="O27" s="125"/>
      <c r="P27" s="125"/>
      <c r="Q27" s="125"/>
      <c r="R27" s="125"/>
      <c r="S27" s="125"/>
      <c r="T27" s="125"/>
      <c r="U27" s="125"/>
      <c r="V27" s="125"/>
      <c r="W27" s="125"/>
    </row>
    <row r="28" spans="1:23" x14ac:dyDescent="0.25">
      <c r="A28" s="117" t="s">
        <v>104</v>
      </c>
      <c r="B28" s="104">
        <f>Calcs!B$15</f>
        <v>1.5</v>
      </c>
      <c r="C28" s="118" t="s">
        <v>4</v>
      </c>
      <c r="D28" s="146"/>
      <c r="H28" s="125"/>
      <c r="I28" s="125"/>
      <c r="J28" s="125"/>
      <c r="K28" s="125"/>
      <c r="L28" s="125"/>
      <c r="M28" s="125"/>
      <c r="N28" s="125"/>
      <c r="O28" s="125"/>
      <c r="P28" s="125"/>
      <c r="Q28" s="125"/>
      <c r="R28" s="125"/>
      <c r="S28" s="125"/>
      <c r="T28" s="125"/>
      <c r="U28" s="125"/>
      <c r="V28" s="125"/>
      <c r="W28" s="125"/>
    </row>
    <row r="29" spans="1:23" x14ac:dyDescent="0.25">
      <c r="A29" s="117" t="s">
        <v>5</v>
      </c>
      <c r="B29" s="104">
        <f>Calcs!B$16</f>
        <v>0.27829999999999999</v>
      </c>
      <c r="C29" s="118" t="s">
        <v>6</v>
      </c>
      <c r="D29" s="146"/>
      <c r="G29" s="131"/>
      <c r="H29" s="125"/>
      <c r="I29" s="125"/>
      <c r="J29" s="125"/>
      <c r="K29" s="125"/>
      <c r="L29" s="125"/>
      <c r="M29" s="125"/>
      <c r="N29" s="125"/>
      <c r="O29" s="125"/>
      <c r="P29" s="125"/>
      <c r="Q29" s="125"/>
      <c r="R29" s="125"/>
      <c r="S29" s="125"/>
      <c r="T29" s="125"/>
      <c r="U29" s="125"/>
      <c r="V29" s="125"/>
      <c r="W29" s="125"/>
    </row>
    <row r="30" spans="1:23" ht="15.75" thickBot="1" x14ac:dyDescent="0.3">
      <c r="A30" s="119" t="s">
        <v>11</v>
      </c>
      <c r="B30" s="105">
        <f>Calcs!B$17</f>
        <v>17</v>
      </c>
      <c r="C30" s="120" t="s">
        <v>12</v>
      </c>
      <c r="D30" s="146"/>
      <c r="H30" s="125"/>
      <c r="I30" s="125"/>
      <c r="J30" s="125"/>
      <c r="K30" s="125"/>
      <c r="L30" s="125"/>
      <c r="M30" s="125"/>
      <c r="N30" s="125"/>
      <c r="O30" s="125"/>
      <c r="P30" s="125"/>
      <c r="Q30" s="125"/>
      <c r="R30" s="125"/>
      <c r="S30" s="125"/>
      <c r="T30" s="125"/>
      <c r="U30" s="125"/>
      <c r="V30" s="125"/>
      <c r="W30" s="125"/>
    </row>
    <row r="31" spans="1:23" x14ac:dyDescent="0.25">
      <c r="A31" s="142"/>
      <c r="B31" s="146"/>
      <c r="C31" s="146"/>
      <c r="D31" s="146"/>
      <c r="H31" s="125"/>
      <c r="I31" s="125"/>
      <c r="J31" s="125"/>
      <c r="K31" s="125"/>
      <c r="L31" s="125"/>
      <c r="M31" s="125"/>
      <c r="N31" s="125"/>
    </row>
    <row r="32" spans="1:23" x14ac:dyDescent="0.25">
      <c r="A32" s="142"/>
      <c r="B32" s="147"/>
      <c r="C32" s="148"/>
      <c r="D32" s="149"/>
      <c r="H32" s="125"/>
      <c r="I32" s="125"/>
      <c r="J32" s="125"/>
      <c r="K32" s="125"/>
      <c r="L32" s="125"/>
      <c r="M32" s="125"/>
      <c r="N32" s="125"/>
    </row>
    <row r="33" spans="1:23" x14ac:dyDescent="0.25">
      <c r="A33" s="142"/>
      <c r="B33" s="142"/>
      <c r="C33" s="142"/>
      <c r="D33" s="142"/>
      <c r="H33" s="125"/>
      <c r="I33" s="125"/>
      <c r="J33" s="125"/>
      <c r="K33" s="125"/>
      <c r="L33" s="125"/>
      <c r="M33" s="125"/>
      <c r="N33" s="125"/>
    </row>
    <row r="34" spans="1:23" x14ac:dyDescent="0.25">
      <c r="H34" s="125"/>
      <c r="I34" s="125"/>
      <c r="J34" s="125"/>
      <c r="K34" s="125"/>
      <c r="L34" s="125"/>
      <c r="M34" s="125"/>
      <c r="N34" s="125"/>
    </row>
    <row r="35" spans="1:23" x14ac:dyDescent="0.25">
      <c r="H35" s="125"/>
      <c r="I35" s="125"/>
      <c r="J35" s="125"/>
      <c r="K35" s="125"/>
      <c r="L35" s="125"/>
      <c r="M35" s="125"/>
      <c r="N35" s="125"/>
    </row>
    <row r="36" spans="1:23" x14ac:dyDescent="0.25">
      <c r="H36" s="125"/>
      <c r="I36" s="125"/>
      <c r="J36" s="125"/>
      <c r="K36" s="125"/>
      <c r="L36" s="125"/>
      <c r="M36" s="125"/>
      <c r="N36" s="125"/>
    </row>
    <row r="37" spans="1:23" x14ac:dyDescent="0.25">
      <c r="H37" s="125"/>
      <c r="I37" s="125"/>
    </row>
    <row r="41" spans="1:23" x14ac:dyDescent="0.25">
      <c r="W41" s="125"/>
    </row>
    <row r="42" spans="1:23" x14ac:dyDescent="0.25">
      <c r="W42" s="125"/>
    </row>
    <row r="43" spans="1:23" x14ac:dyDescent="0.25">
      <c r="W43" s="125"/>
    </row>
    <row r="44" spans="1:23" ht="15.75" thickBot="1" x14ac:dyDescent="0.3">
      <c r="G44" s="150"/>
      <c r="H44" s="149"/>
      <c r="I44" s="149"/>
      <c r="J44" s="149"/>
      <c r="K44" s="149"/>
      <c r="L44" s="149"/>
      <c r="M44" s="149"/>
      <c r="N44" s="149"/>
      <c r="P44" s="125"/>
      <c r="Q44" s="125"/>
      <c r="R44" s="125"/>
      <c r="S44" s="125"/>
      <c r="T44" s="125"/>
      <c r="U44" s="125"/>
      <c r="V44" s="125"/>
    </row>
    <row r="45" spans="1:23" x14ac:dyDescent="0.25">
      <c r="G45" s="150"/>
      <c r="H45" s="151"/>
      <c r="I45" s="151"/>
      <c r="J45" s="149"/>
      <c r="K45" s="149"/>
      <c r="L45" s="149"/>
      <c r="M45" s="149"/>
      <c r="N45" s="149"/>
      <c r="P45" s="152" t="s">
        <v>173</v>
      </c>
      <c r="Q45" s="153"/>
      <c r="R45" s="153"/>
      <c r="S45" s="153"/>
      <c r="T45" s="153"/>
      <c r="U45" s="153"/>
      <c r="V45" s="154"/>
    </row>
    <row r="46" spans="1:23" x14ac:dyDescent="0.25">
      <c r="G46" s="150"/>
      <c r="H46" s="149"/>
      <c r="I46" s="149"/>
      <c r="J46" s="149"/>
      <c r="K46" s="149"/>
      <c r="L46" s="149"/>
      <c r="M46" s="149"/>
      <c r="N46" s="149"/>
      <c r="P46" s="333" t="s">
        <v>210</v>
      </c>
      <c r="Q46" s="334"/>
      <c r="R46" s="334"/>
      <c r="S46" s="334"/>
      <c r="T46" s="334"/>
      <c r="U46" s="334"/>
      <c r="V46" s="335"/>
    </row>
    <row r="47" spans="1:23" x14ac:dyDescent="0.25">
      <c r="G47" s="150"/>
      <c r="H47" s="149"/>
      <c r="I47" s="149"/>
      <c r="J47" s="149"/>
      <c r="K47" s="149"/>
      <c r="L47" s="149"/>
      <c r="M47" s="149"/>
      <c r="N47" s="149"/>
      <c r="P47" s="333"/>
      <c r="Q47" s="334"/>
      <c r="R47" s="334"/>
      <c r="S47" s="334"/>
      <c r="T47" s="334"/>
      <c r="U47" s="334"/>
      <c r="V47" s="335"/>
    </row>
    <row r="48" spans="1:23" x14ac:dyDescent="0.25">
      <c r="G48" s="150"/>
      <c r="H48" s="149"/>
      <c r="I48" s="149"/>
      <c r="J48" s="149"/>
      <c r="K48" s="149"/>
      <c r="L48" s="149"/>
      <c r="M48" s="149"/>
      <c r="N48" s="149"/>
      <c r="P48" s="155"/>
      <c r="Q48" s="156"/>
      <c r="R48" s="156"/>
      <c r="S48" s="156"/>
      <c r="T48" s="156"/>
      <c r="U48" s="156"/>
      <c r="V48" s="157"/>
    </row>
    <row r="49" spans="7:22" ht="15.75" thickBot="1" x14ac:dyDescent="0.3">
      <c r="G49" s="150"/>
      <c r="H49" s="151"/>
      <c r="I49" s="151"/>
      <c r="J49" s="149"/>
      <c r="K49" s="149"/>
      <c r="L49" s="149"/>
      <c r="M49" s="149"/>
      <c r="N49" s="149"/>
      <c r="P49" s="158"/>
      <c r="Q49" s="159"/>
      <c r="R49" s="159"/>
      <c r="S49" s="159"/>
      <c r="T49" s="159"/>
      <c r="U49" s="159"/>
      <c r="V49" s="160"/>
    </row>
    <row r="50" spans="7:22" x14ac:dyDescent="0.25">
      <c r="G50" s="150"/>
      <c r="H50" s="149"/>
      <c r="I50" s="149"/>
      <c r="J50" s="149"/>
      <c r="K50" s="149"/>
      <c r="L50" s="149"/>
      <c r="M50" s="149"/>
      <c r="N50" s="149"/>
    </row>
    <row r="51" spans="7:22" x14ac:dyDescent="0.25">
      <c r="G51" s="150"/>
      <c r="H51" s="149"/>
      <c r="I51" s="149"/>
      <c r="J51" s="149"/>
      <c r="K51" s="149"/>
      <c r="L51" s="149"/>
      <c r="M51" s="149"/>
      <c r="N51" s="149"/>
    </row>
    <row r="52" spans="7:22" x14ac:dyDescent="0.25">
      <c r="G52" s="150"/>
      <c r="H52" s="149"/>
      <c r="I52" s="149"/>
      <c r="J52" s="149"/>
      <c r="K52" s="149"/>
      <c r="L52" s="149"/>
      <c r="M52" s="149"/>
      <c r="N52" s="149"/>
    </row>
  </sheetData>
  <sheetProtection algorithmName="SHA-512" hashValue="XglR7E2DJOM9GLqK0pZx69/M22wKte2lICLFM+DWGMC4k+hMg3MYl/QlZON/oVXUi5GKwfNT6cCnL95L0YjN2Q==" saltValue="I8xaPree8Gxnv7kdJQZc3g==" spinCount="100000" sheet="1" objects="1" scenarios="1"/>
  <mergeCells count="8">
    <mergeCell ref="P46:V47"/>
    <mergeCell ref="A1:D1"/>
    <mergeCell ref="F1:I1"/>
    <mergeCell ref="A9:F9"/>
    <mergeCell ref="A3:A6"/>
    <mergeCell ref="B4:C4"/>
    <mergeCell ref="D4:E4"/>
    <mergeCell ref="B3:E3"/>
  </mergeCells>
  <pageMargins left="0.7" right="0.7" top="0.75" bottom="0.75" header="0.3" footer="0.3"/>
  <pageSetup paperSize="17" scale="79" orientation="landscape"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E621-3F5D-4CC6-A6AE-5B12E23D0121}">
  <sheetPr>
    <pageSetUpPr fitToPage="1"/>
  </sheetPr>
  <dimension ref="A1:X58"/>
  <sheetViews>
    <sheetView showGridLines="0" zoomScaleNormal="100" workbookViewId="0">
      <selection activeCell="I28" sqref="I28"/>
    </sheetView>
  </sheetViews>
  <sheetFormatPr defaultColWidth="9.140625" defaultRowHeight="15" x14ac:dyDescent="0.25"/>
  <cols>
    <col min="1" max="1" width="14.42578125" style="129" customWidth="1"/>
    <col min="2" max="6" width="12" style="129" customWidth="1"/>
    <col min="7" max="20" width="10.5703125" style="122" customWidth="1"/>
    <col min="21" max="16384" width="9.140625" style="122"/>
  </cols>
  <sheetData>
    <row r="1" spans="1:24" ht="33" customHeight="1" thickBot="1" x14ac:dyDescent="0.3">
      <c r="A1" s="336" t="str">
        <f>Calcs!A2</f>
        <v>&lt;Enter Project Title here; it auto-populates onto each animal tab&gt;</v>
      </c>
      <c r="B1" s="337"/>
      <c r="C1" s="337"/>
      <c r="D1" s="338"/>
      <c r="E1" s="121"/>
      <c r="F1" s="336" t="str">
        <f>Calcs!A3</f>
        <v>&lt;Enter project info here;  it auto-populates onto each animal tab&gt;</v>
      </c>
      <c r="G1" s="337"/>
      <c r="H1" s="337"/>
      <c r="I1" s="338"/>
    </row>
    <row r="2" spans="1:24" ht="15" customHeight="1" x14ac:dyDescent="0.25">
      <c r="A2" s="123"/>
      <c r="B2" s="123"/>
      <c r="C2" s="123"/>
      <c r="D2" s="123"/>
      <c r="E2" s="121"/>
      <c r="F2" s="123"/>
      <c r="G2" s="123"/>
      <c r="H2" s="123"/>
      <c r="I2" s="123"/>
    </row>
    <row r="3" spans="1:24" ht="15" customHeight="1" x14ac:dyDescent="0.25">
      <c r="A3" s="348" t="s">
        <v>93</v>
      </c>
      <c r="B3" s="351" t="s">
        <v>103</v>
      </c>
      <c r="C3" s="352"/>
      <c r="D3" s="352"/>
      <c r="E3" s="353"/>
      <c r="F3" s="124" t="s">
        <v>206</v>
      </c>
      <c r="H3" s="125"/>
      <c r="I3" s="125"/>
      <c r="J3" s="125"/>
      <c r="K3" s="125"/>
      <c r="L3" s="125"/>
      <c r="M3" s="125"/>
      <c r="N3" s="125"/>
      <c r="O3" s="125"/>
      <c r="P3" s="125"/>
      <c r="Q3" s="125"/>
      <c r="R3" s="125"/>
      <c r="S3" s="125"/>
      <c r="T3" s="125"/>
      <c r="U3" s="125"/>
      <c r="V3" s="125"/>
      <c r="W3" s="125"/>
    </row>
    <row r="4" spans="1:24" ht="15" customHeight="1" x14ac:dyDescent="0.25">
      <c r="A4" s="348"/>
      <c r="B4" s="348" t="s">
        <v>76</v>
      </c>
      <c r="C4" s="348"/>
      <c r="D4" s="348" t="s">
        <v>77</v>
      </c>
      <c r="E4" s="348"/>
      <c r="F4" s="126" t="s">
        <v>75</v>
      </c>
      <c r="H4" s="125"/>
      <c r="I4" s="125"/>
      <c r="J4" s="125"/>
      <c r="K4" s="125"/>
      <c r="L4" s="125"/>
      <c r="M4" s="125"/>
      <c r="N4" s="125"/>
      <c r="O4" s="125"/>
      <c r="P4" s="125"/>
      <c r="Q4" s="125"/>
      <c r="R4" s="125"/>
      <c r="S4" s="125"/>
      <c r="T4" s="125"/>
      <c r="U4" s="125"/>
      <c r="V4" s="125"/>
      <c r="W4" s="125"/>
    </row>
    <row r="5" spans="1:24" ht="17.25" customHeight="1" x14ac:dyDescent="0.25">
      <c r="A5" s="348"/>
      <c r="B5" s="126" t="s">
        <v>143</v>
      </c>
      <c r="C5" s="126" t="s">
        <v>144</v>
      </c>
      <c r="D5" s="126" t="s">
        <v>145</v>
      </c>
      <c r="E5" s="126" t="s">
        <v>96</v>
      </c>
      <c r="F5" s="126" t="s">
        <v>97</v>
      </c>
      <c r="H5" s="125"/>
      <c r="I5" s="125"/>
      <c r="J5" s="125"/>
      <c r="K5" s="125"/>
      <c r="L5" s="125"/>
      <c r="M5" s="125"/>
      <c r="N5" s="125"/>
      <c r="O5" s="125"/>
      <c r="P5" s="125"/>
      <c r="Q5" s="125"/>
      <c r="R5" s="125"/>
      <c r="S5" s="125"/>
      <c r="T5" s="125"/>
      <c r="U5" s="125"/>
      <c r="V5" s="125"/>
      <c r="W5" s="125"/>
    </row>
    <row r="6" spans="1:24" ht="25.5" customHeight="1" x14ac:dyDescent="0.25">
      <c r="A6" s="348"/>
      <c r="B6" s="126" t="s">
        <v>146</v>
      </c>
      <c r="C6" s="126" t="s">
        <v>78</v>
      </c>
      <c r="D6" s="126" t="s">
        <v>147</v>
      </c>
      <c r="E6" s="126" t="s">
        <v>78</v>
      </c>
      <c r="F6" s="126" t="s">
        <v>78</v>
      </c>
      <c r="H6" s="125"/>
      <c r="I6" s="125"/>
      <c r="J6" s="125"/>
      <c r="K6" s="125"/>
      <c r="L6" s="125"/>
      <c r="M6" s="125"/>
      <c r="N6" s="125"/>
      <c r="O6" s="125"/>
      <c r="P6" s="125"/>
      <c r="Q6" s="125"/>
      <c r="R6" s="125"/>
      <c r="S6" s="125"/>
      <c r="T6" s="125"/>
      <c r="U6" s="125"/>
      <c r="V6" s="125"/>
      <c r="W6" s="125"/>
    </row>
    <row r="7" spans="1:24" ht="25.5" x14ac:dyDescent="0.25">
      <c r="A7" s="127" t="s">
        <v>81</v>
      </c>
      <c r="B7" s="128">
        <v>155</v>
      </c>
      <c r="C7" s="128">
        <v>202</v>
      </c>
      <c r="D7" s="128">
        <v>140</v>
      </c>
      <c r="E7" s="128">
        <v>196</v>
      </c>
      <c r="F7" s="128">
        <v>160</v>
      </c>
      <c r="H7" s="125"/>
      <c r="I7" s="125"/>
      <c r="J7" s="125"/>
      <c r="K7" s="125"/>
      <c r="L7" s="125"/>
      <c r="M7" s="125"/>
      <c r="N7" s="125"/>
      <c r="O7" s="125"/>
      <c r="P7" s="125"/>
      <c r="Q7" s="125"/>
      <c r="R7" s="125"/>
      <c r="S7" s="125"/>
      <c r="T7" s="125"/>
      <c r="U7" s="125"/>
      <c r="V7" s="125"/>
      <c r="W7" s="125"/>
    </row>
    <row r="8" spans="1:24" ht="15.75" customHeight="1" thickBot="1" x14ac:dyDescent="0.3">
      <c r="H8" s="125"/>
      <c r="I8" s="125"/>
      <c r="J8" s="125"/>
      <c r="K8" s="125"/>
      <c r="L8" s="125"/>
      <c r="M8" s="125"/>
      <c r="N8" s="125"/>
      <c r="O8" s="125"/>
      <c r="P8" s="125"/>
      <c r="Q8" s="125"/>
      <c r="R8" s="125"/>
      <c r="S8" s="125"/>
      <c r="T8" s="125"/>
      <c r="U8" s="125"/>
      <c r="V8" s="125"/>
      <c r="W8" s="125"/>
      <c r="X8" s="125"/>
    </row>
    <row r="9" spans="1:24" ht="15.75" thickBot="1" x14ac:dyDescent="0.3">
      <c r="A9" s="345" t="s">
        <v>111</v>
      </c>
      <c r="B9" s="346"/>
      <c r="C9" s="346"/>
      <c r="D9" s="346"/>
      <c r="E9" s="346"/>
      <c r="F9" s="347"/>
      <c r="H9" s="125"/>
      <c r="I9" s="125"/>
      <c r="J9" s="125"/>
      <c r="K9" s="125"/>
      <c r="L9" s="125"/>
      <c r="M9" s="125"/>
      <c r="N9" s="125"/>
      <c r="O9" s="125"/>
      <c r="P9" s="125"/>
      <c r="Q9" s="125"/>
      <c r="R9" s="125"/>
      <c r="S9" s="125"/>
      <c r="T9" s="125"/>
      <c r="U9" s="125"/>
      <c r="V9" s="125"/>
      <c r="W9" s="125"/>
      <c r="X9" s="125"/>
    </row>
    <row r="10" spans="1:24" ht="25.5" x14ac:dyDescent="0.25">
      <c r="A10" s="130" t="s">
        <v>81</v>
      </c>
      <c r="B10" s="106">
        <f>IF(Calcs!AS52&gt;5000,"&gt; 5000",IF(Calcs!AS52&lt;Calcs!$B$11/2,0,Calcs!AS52))</f>
        <v>2811.1166283720754</v>
      </c>
      <c r="C10" s="106">
        <f>IF(Calcs!AV52&gt;5000,"&gt; 5000",IF(Calcs!AV52&lt;Calcs!$B$11/2,0,Calcs!AV52))</f>
        <v>241.97752521682241</v>
      </c>
      <c r="D10" s="106" t="str">
        <f>IF(Calcs!AU52&gt;5000,"&gt; 5000",IF(Calcs!AU52&lt;Calcs!$B$11/2,0,Calcs!AU52))</f>
        <v>&gt; 5000</v>
      </c>
      <c r="E10" s="106">
        <f>IF(Calcs!AW52&gt;5000,"&gt; 5000",IF(Calcs!AW52&lt;Calcs!$B$11/2,0,Calcs!AW52))</f>
        <v>674.99195538345191</v>
      </c>
      <c r="F10" s="106" t="str">
        <f>IF(Calcs!AX52&gt;5000,"&gt; 5000",IF(Calcs!AX52&lt;Calcs!$B$11/2,0,Calcs!AX52))</f>
        <v>&gt; 5000</v>
      </c>
      <c r="G10" s="131"/>
      <c r="H10" s="125"/>
      <c r="I10" s="125"/>
      <c r="J10" s="125"/>
      <c r="K10" s="125"/>
      <c r="L10" s="125"/>
      <c r="M10" s="125"/>
      <c r="N10" s="125"/>
      <c r="O10" s="125"/>
      <c r="X10" s="125"/>
    </row>
    <row r="11" spans="1:24" x14ac:dyDescent="0.25">
      <c r="H11" s="125"/>
      <c r="I11" s="125"/>
      <c r="J11" s="125"/>
      <c r="K11" s="125"/>
      <c r="L11" s="125"/>
      <c r="M11" s="125"/>
      <c r="N11" s="125"/>
      <c r="O11" s="125"/>
      <c r="X11" s="125"/>
    </row>
    <row r="12" spans="1:24" x14ac:dyDescent="0.25">
      <c r="H12" s="125"/>
      <c r="I12" s="125"/>
      <c r="J12" s="125"/>
      <c r="K12" s="125"/>
      <c r="L12" s="125"/>
      <c r="M12" s="125"/>
      <c r="N12" s="125"/>
      <c r="O12" s="125"/>
      <c r="X12" s="125"/>
    </row>
    <row r="13" spans="1:24" x14ac:dyDescent="0.25">
      <c r="A13" s="132"/>
      <c r="B13" s="132">
        <v>155</v>
      </c>
      <c r="C13" s="132">
        <v>202</v>
      </c>
      <c r="D13" s="132">
        <v>140</v>
      </c>
      <c r="E13" s="132">
        <v>196</v>
      </c>
      <c r="F13" s="132">
        <v>160</v>
      </c>
      <c r="H13" s="125"/>
      <c r="I13" s="125"/>
      <c r="J13" s="125"/>
      <c r="K13" s="125"/>
      <c r="L13" s="125"/>
      <c r="M13" s="125"/>
      <c r="N13" s="125"/>
      <c r="O13" s="125"/>
      <c r="X13" s="125"/>
    </row>
    <row r="14" spans="1:24" x14ac:dyDescent="0.25">
      <c r="A14" s="132">
        <v>1</v>
      </c>
      <c r="B14" s="132">
        <v>155</v>
      </c>
      <c r="C14" s="132">
        <v>202</v>
      </c>
      <c r="D14" s="132">
        <v>140</v>
      </c>
      <c r="E14" s="132">
        <v>196</v>
      </c>
      <c r="F14" s="132">
        <v>160</v>
      </c>
      <c r="G14" s="133"/>
      <c r="H14" s="133"/>
      <c r="I14" s="133"/>
      <c r="J14" s="125"/>
      <c r="K14" s="125"/>
      <c r="L14" s="125"/>
      <c r="M14" s="125"/>
      <c r="N14" s="125"/>
      <c r="O14" s="125"/>
      <c r="X14" s="125"/>
    </row>
    <row r="15" spans="1:24" x14ac:dyDescent="0.25">
      <c r="A15" s="132">
        <v>5000</v>
      </c>
      <c r="B15" s="132">
        <v>155</v>
      </c>
      <c r="C15" s="132">
        <v>202</v>
      </c>
      <c r="D15" s="132">
        <v>140</v>
      </c>
      <c r="E15" s="132">
        <v>196</v>
      </c>
      <c r="F15" s="132">
        <v>160</v>
      </c>
      <c r="G15" s="133"/>
      <c r="H15" s="133"/>
      <c r="I15" s="133"/>
      <c r="J15" s="125"/>
      <c r="K15" s="125"/>
      <c r="L15" s="125"/>
      <c r="M15" s="125"/>
      <c r="N15" s="125"/>
      <c r="O15" s="125"/>
      <c r="X15" s="125"/>
    </row>
    <row r="16" spans="1:24" x14ac:dyDescent="0.25">
      <c r="A16" s="132"/>
      <c r="B16" s="132"/>
      <c r="C16" s="132"/>
      <c r="D16" s="132"/>
      <c r="E16" s="132"/>
      <c r="F16" s="132"/>
      <c r="G16" s="133"/>
      <c r="H16" s="133"/>
      <c r="I16" s="133"/>
      <c r="J16" s="125"/>
      <c r="K16" s="125"/>
      <c r="L16" s="125"/>
      <c r="M16" s="125"/>
      <c r="N16" s="125"/>
      <c r="O16" s="125"/>
    </row>
    <row r="17" spans="1:23" x14ac:dyDescent="0.25">
      <c r="A17" s="132"/>
      <c r="B17" s="132"/>
      <c r="C17" s="132"/>
      <c r="D17" s="132"/>
      <c r="E17" s="132"/>
      <c r="F17" s="132"/>
      <c r="G17" s="133"/>
      <c r="H17" s="133"/>
      <c r="I17" s="133"/>
      <c r="J17" s="125"/>
      <c r="K17" s="125"/>
      <c r="L17" s="125"/>
      <c r="M17" s="125"/>
      <c r="N17" s="125"/>
      <c r="O17" s="125"/>
      <c r="P17" s="135"/>
      <c r="Q17" s="125"/>
      <c r="R17" s="125"/>
      <c r="S17" s="125"/>
      <c r="T17" s="125"/>
      <c r="U17" s="125"/>
      <c r="V17" s="125"/>
      <c r="W17" s="125"/>
    </row>
    <row r="18" spans="1:23" x14ac:dyDescent="0.25">
      <c r="A18" s="132"/>
      <c r="B18" s="132"/>
      <c r="C18" s="132"/>
      <c r="D18" s="132"/>
      <c r="E18" s="132"/>
      <c r="F18" s="132"/>
      <c r="G18" s="133"/>
      <c r="H18" s="133"/>
      <c r="I18" s="133"/>
    </row>
    <row r="19" spans="1:23" ht="15.75" thickBot="1" x14ac:dyDescent="0.3">
      <c r="A19" s="137" t="s">
        <v>172</v>
      </c>
      <c r="B19" s="138"/>
      <c r="C19" s="138"/>
    </row>
    <row r="20" spans="1:23" ht="15.75" thickBot="1" x14ac:dyDescent="0.3">
      <c r="A20" s="139" t="s">
        <v>73</v>
      </c>
      <c r="B20" s="140" t="s">
        <v>72</v>
      </c>
      <c r="C20" s="141" t="s">
        <v>70</v>
      </c>
    </row>
    <row r="21" spans="1:23" x14ac:dyDescent="0.25">
      <c r="A21" s="107" t="s">
        <v>2</v>
      </c>
      <c r="B21" s="100">
        <f>Calcs!B$7</f>
        <v>29</v>
      </c>
      <c r="C21" s="108" t="s">
        <v>3</v>
      </c>
      <c r="D21" s="142"/>
      <c r="J21" s="125"/>
      <c r="K21" s="125"/>
      <c r="L21" s="125"/>
      <c r="M21" s="125"/>
      <c r="N21" s="125"/>
      <c r="O21" s="125"/>
      <c r="P21" s="125"/>
      <c r="Q21" s="125"/>
      <c r="R21" s="125"/>
      <c r="S21" s="125"/>
      <c r="T21" s="125"/>
      <c r="U21" s="125"/>
      <c r="V21" s="125"/>
      <c r="W21" s="125"/>
    </row>
    <row r="22" spans="1:23" ht="18" x14ac:dyDescent="0.25">
      <c r="A22" s="109" t="s">
        <v>106</v>
      </c>
      <c r="B22" s="101">
        <f>Calcs!B$8</f>
        <v>179</v>
      </c>
      <c r="C22" s="110" t="s">
        <v>10</v>
      </c>
      <c r="D22" s="143"/>
      <c r="H22" s="125"/>
      <c r="I22" s="125"/>
      <c r="J22" s="125"/>
      <c r="K22" s="125"/>
      <c r="L22" s="125"/>
      <c r="M22" s="125"/>
      <c r="N22" s="125"/>
      <c r="O22" s="125"/>
      <c r="P22" s="125"/>
      <c r="Q22" s="125"/>
      <c r="R22" s="125"/>
      <c r="S22" s="125"/>
      <c r="T22" s="125"/>
      <c r="U22" s="125"/>
      <c r="V22" s="125"/>
      <c r="W22" s="125"/>
    </row>
    <row r="23" spans="1:23" x14ac:dyDescent="0.25">
      <c r="A23" s="109" t="s">
        <v>16</v>
      </c>
      <c r="B23" s="101">
        <f>Calcs!B$9</f>
        <v>234</v>
      </c>
      <c r="C23" s="110" t="s">
        <v>9</v>
      </c>
      <c r="D23" s="144"/>
      <c r="H23" s="125"/>
      <c r="I23" s="125"/>
      <c r="J23" s="125"/>
      <c r="K23" s="125"/>
      <c r="L23" s="125"/>
      <c r="M23" s="125"/>
      <c r="N23" s="125"/>
      <c r="O23" s="125"/>
      <c r="P23" s="125"/>
      <c r="Q23" s="125"/>
      <c r="R23" s="125"/>
      <c r="S23" s="125"/>
      <c r="T23" s="125"/>
      <c r="U23" s="125"/>
      <c r="V23" s="125"/>
      <c r="W23" s="125"/>
    </row>
    <row r="24" spans="1:23" x14ac:dyDescent="0.25">
      <c r="A24" s="111" t="s">
        <v>108</v>
      </c>
      <c r="B24" s="101">
        <f>Calcs!B$10</f>
        <v>50</v>
      </c>
      <c r="C24" s="112" t="s">
        <v>165</v>
      </c>
      <c r="D24" s="144"/>
      <c r="H24" s="125"/>
      <c r="I24" s="125"/>
      <c r="J24" s="125"/>
      <c r="K24" s="125"/>
      <c r="L24" s="125"/>
      <c r="M24" s="125"/>
      <c r="N24" s="125"/>
      <c r="O24" s="125"/>
      <c r="P24" s="125"/>
      <c r="Q24" s="125"/>
      <c r="R24" s="125"/>
      <c r="S24" s="125"/>
      <c r="T24" s="125"/>
      <c r="U24" s="125"/>
      <c r="V24" s="125"/>
      <c r="W24" s="125"/>
    </row>
    <row r="25" spans="1:23" ht="15.75" thickBot="1" x14ac:dyDescent="0.3">
      <c r="A25" s="113" t="s">
        <v>91</v>
      </c>
      <c r="B25" s="102">
        <f>Calcs!B$11</f>
        <v>6</v>
      </c>
      <c r="C25" s="114" t="s">
        <v>9</v>
      </c>
      <c r="D25" s="144"/>
      <c r="H25" s="125"/>
      <c r="I25" s="125"/>
      <c r="J25" s="125"/>
      <c r="K25" s="125"/>
      <c r="L25" s="125"/>
      <c r="M25" s="125"/>
      <c r="N25" s="125"/>
      <c r="O25" s="125"/>
      <c r="P25" s="125"/>
      <c r="Q25" s="125"/>
      <c r="R25" s="125"/>
      <c r="S25" s="125"/>
      <c r="T25" s="125"/>
      <c r="U25" s="125"/>
      <c r="V25" s="125"/>
      <c r="W25" s="125"/>
    </row>
    <row r="26" spans="1:23" x14ac:dyDescent="0.25">
      <c r="A26" s="115" t="s">
        <v>0</v>
      </c>
      <c r="B26" s="103">
        <f>Calcs!B$13</f>
        <v>1500</v>
      </c>
      <c r="C26" s="116" t="s">
        <v>1</v>
      </c>
      <c r="D26" s="145"/>
      <c r="H26" s="125"/>
      <c r="I26" s="125"/>
      <c r="J26" s="125"/>
      <c r="K26" s="125"/>
      <c r="L26" s="125"/>
      <c r="M26" s="125"/>
      <c r="N26" s="125"/>
      <c r="O26" s="125"/>
      <c r="P26" s="125"/>
      <c r="Q26" s="125"/>
      <c r="R26" s="125"/>
      <c r="S26" s="125"/>
      <c r="T26" s="125"/>
      <c r="U26" s="125"/>
      <c r="V26" s="125"/>
      <c r="W26" s="125"/>
    </row>
    <row r="27" spans="1:23" ht="17.25" x14ac:dyDescent="0.25">
      <c r="A27" s="117" t="s">
        <v>22</v>
      </c>
      <c r="B27" s="104">
        <f>Calcs!B$14</f>
        <v>1029</v>
      </c>
      <c r="C27" s="118" t="s">
        <v>166</v>
      </c>
      <c r="D27" s="146"/>
      <c r="H27" s="125"/>
      <c r="I27" s="125"/>
      <c r="J27" s="125"/>
      <c r="K27" s="125"/>
      <c r="L27" s="125"/>
      <c r="M27" s="125"/>
      <c r="N27" s="125"/>
      <c r="O27" s="125"/>
      <c r="P27" s="125"/>
      <c r="Q27" s="125"/>
      <c r="R27" s="125"/>
      <c r="S27" s="125"/>
      <c r="T27" s="125"/>
      <c r="U27" s="125"/>
      <c r="V27" s="125"/>
      <c r="W27" s="125"/>
    </row>
    <row r="28" spans="1:23" x14ac:dyDescent="0.25">
      <c r="A28" s="117" t="s">
        <v>104</v>
      </c>
      <c r="B28" s="104">
        <f>Calcs!B$15</f>
        <v>1.5</v>
      </c>
      <c r="C28" s="118" t="s">
        <v>4</v>
      </c>
      <c r="D28" s="146"/>
      <c r="H28" s="125"/>
      <c r="I28" s="125"/>
      <c r="J28" s="125"/>
      <c r="K28" s="125"/>
      <c r="L28" s="125"/>
      <c r="M28" s="125"/>
      <c r="N28" s="125"/>
      <c r="O28" s="125"/>
      <c r="P28" s="125"/>
      <c r="Q28" s="125"/>
      <c r="R28" s="125"/>
      <c r="S28" s="125"/>
      <c r="T28" s="125"/>
      <c r="U28" s="125"/>
      <c r="V28" s="125"/>
      <c r="W28" s="125"/>
    </row>
    <row r="29" spans="1:23" x14ac:dyDescent="0.25">
      <c r="A29" s="117" t="s">
        <v>5</v>
      </c>
      <c r="B29" s="104">
        <f>Calcs!B$16</f>
        <v>0.27829999999999999</v>
      </c>
      <c r="C29" s="118" t="s">
        <v>6</v>
      </c>
      <c r="D29" s="146"/>
      <c r="G29" s="131"/>
      <c r="H29" s="125"/>
      <c r="I29" s="125"/>
      <c r="J29" s="125"/>
      <c r="K29" s="125"/>
      <c r="L29" s="125"/>
      <c r="M29" s="125"/>
      <c r="N29" s="125"/>
      <c r="O29" s="125"/>
      <c r="P29" s="125"/>
      <c r="Q29" s="125"/>
      <c r="R29" s="125"/>
      <c r="S29" s="125"/>
      <c r="T29" s="125"/>
      <c r="U29" s="125"/>
      <c r="V29" s="125"/>
      <c r="W29" s="125"/>
    </row>
    <row r="30" spans="1:23" ht="15.75" thickBot="1" x14ac:dyDescent="0.3">
      <c r="A30" s="119" t="s">
        <v>11</v>
      </c>
      <c r="B30" s="105">
        <f>Calcs!B$17</f>
        <v>17</v>
      </c>
      <c r="C30" s="120" t="s">
        <v>12</v>
      </c>
      <c r="D30" s="146"/>
      <c r="H30" s="125"/>
      <c r="I30" s="125"/>
      <c r="J30" s="125"/>
      <c r="K30" s="125"/>
      <c r="L30" s="125"/>
      <c r="M30" s="125"/>
      <c r="N30" s="125"/>
      <c r="O30" s="125"/>
      <c r="P30" s="125"/>
      <c r="Q30" s="125"/>
      <c r="R30" s="125"/>
      <c r="S30" s="125"/>
      <c r="T30" s="125"/>
      <c r="U30" s="125"/>
      <c r="V30" s="125"/>
      <c r="W30" s="125"/>
    </row>
    <row r="31" spans="1:23" x14ac:dyDescent="0.25">
      <c r="B31" s="146"/>
      <c r="C31" s="146"/>
      <c r="D31" s="146"/>
      <c r="H31" s="125"/>
      <c r="I31" s="125"/>
      <c r="J31" s="125"/>
      <c r="K31" s="125"/>
      <c r="L31" s="125"/>
      <c r="M31" s="125"/>
      <c r="N31" s="125"/>
    </row>
    <row r="32" spans="1:23" x14ac:dyDescent="0.25">
      <c r="B32" s="147"/>
      <c r="C32" s="148"/>
      <c r="D32" s="149"/>
      <c r="H32" s="125"/>
      <c r="I32" s="125"/>
      <c r="J32" s="125"/>
      <c r="K32" s="125"/>
      <c r="L32" s="125"/>
      <c r="M32" s="125"/>
      <c r="N32" s="125"/>
    </row>
    <row r="33" spans="2:23" x14ac:dyDescent="0.25">
      <c r="B33" s="142"/>
      <c r="C33" s="142"/>
      <c r="D33" s="142"/>
      <c r="H33" s="125"/>
      <c r="I33" s="125"/>
      <c r="J33" s="125"/>
      <c r="K33" s="125"/>
      <c r="L33" s="125"/>
      <c r="M33" s="125"/>
      <c r="N33" s="125"/>
    </row>
    <row r="34" spans="2:23" x14ac:dyDescent="0.25">
      <c r="H34" s="125"/>
      <c r="I34" s="125"/>
      <c r="J34" s="125"/>
      <c r="K34" s="125"/>
      <c r="L34" s="125"/>
      <c r="M34" s="125"/>
      <c r="N34" s="125"/>
    </row>
    <row r="35" spans="2:23" x14ac:dyDescent="0.25">
      <c r="H35" s="125"/>
      <c r="I35" s="125"/>
      <c r="J35" s="125"/>
      <c r="K35" s="125"/>
      <c r="L35" s="125"/>
      <c r="M35" s="125"/>
      <c r="N35" s="125"/>
    </row>
    <row r="36" spans="2:23" x14ac:dyDescent="0.25">
      <c r="H36" s="125"/>
      <c r="I36" s="125"/>
      <c r="J36" s="125"/>
      <c r="K36" s="125"/>
      <c r="L36" s="125"/>
      <c r="M36" s="125"/>
      <c r="N36" s="125"/>
    </row>
    <row r="37" spans="2:23" x14ac:dyDescent="0.25">
      <c r="H37" s="125"/>
      <c r="I37" s="125"/>
    </row>
    <row r="41" spans="2:23" x14ac:dyDescent="0.25">
      <c r="W41" s="125"/>
    </row>
    <row r="42" spans="2:23" x14ac:dyDescent="0.25">
      <c r="W42" s="125"/>
    </row>
    <row r="43" spans="2:23" x14ac:dyDescent="0.25">
      <c r="W43" s="125"/>
    </row>
    <row r="44" spans="2:23" x14ac:dyDescent="0.25">
      <c r="W44" s="125"/>
    </row>
    <row r="45" spans="2:23" x14ac:dyDescent="0.25">
      <c r="W45" s="125"/>
    </row>
    <row r="46" spans="2:23" ht="15.75" thickBot="1" x14ac:dyDescent="0.3">
      <c r="G46" s="150"/>
      <c r="H46" s="149"/>
      <c r="I46" s="149"/>
      <c r="J46" s="149"/>
      <c r="K46" s="149"/>
      <c r="L46" s="149"/>
      <c r="M46" s="149"/>
      <c r="N46" s="149"/>
      <c r="P46" s="125"/>
      <c r="Q46" s="125"/>
      <c r="R46" s="125"/>
      <c r="S46" s="125"/>
      <c r="T46" s="125"/>
      <c r="U46" s="125"/>
      <c r="V46" s="125"/>
    </row>
    <row r="47" spans="2:23" x14ac:dyDescent="0.25">
      <c r="G47" s="150"/>
      <c r="H47" s="151"/>
      <c r="I47" s="151"/>
      <c r="J47" s="149"/>
      <c r="K47" s="149"/>
      <c r="L47" s="149"/>
      <c r="M47" s="149"/>
      <c r="N47" s="149"/>
      <c r="P47" s="152" t="s">
        <v>173</v>
      </c>
      <c r="Q47" s="153"/>
      <c r="R47" s="153"/>
      <c r="S47" s="153"/>
      <c r="T47" s="153"/>
      <c r="U47" s="153"/>
      <c r="V47" s="154"/>
    </row>
    <row r="48" spans="2:23" x14ac:dyDescent="0.25">
      <c r="G48" s="150"/>
      <c r="H48" s="149"/>
      <c r="I48" s="149"/>
      <c r="J48" s="149"/>
      <c r="K48" s="149"/>
      <c r="L48" s="149"/>
      <c r="M48" s="149"/>
      <c r="N48" s="149"/>
      <c r="P48" s="333" t="s">
        <v>210</v>
      </c>
      <c r="Q48" s="334"/>
      <c r="R48" s="334"/>
      <c r="S48" s="334"/>
      <c r="T48" s="334"/>
      <c r="U48" s="334"/>
      <c r="V48" s="335"/>
    </row>
    <row r="49" spans="7:22" x14ac:dyDescent="0.25">
      <c r="G49" s="150"/>
      <c r="H49" s="149"/>
      <c r="I49" s="149"/>
      <c r="J49" s="149"/>
      <c r="K49" s="149"/>
      <c r="L49" s="149"/>
      <c r="M49" s="149"/>
      <c r="N49" s="149"/>
      <c r="P49" s="333"/>
      <c r="Q49" s="334"/>
      <c r="R49" s="334"/>
      <c r="S49" s="334"/>
      <c r="T49" s="334"/>
      <c r="U49" s="334"/>
      <c r="V49" s="335"/>
    </row>
    <row r="50" spans="7:22" x14ac:dyDescent="0.25">
      <c r="G50" s="150"/>
      <c r="H50" s="149"/>
      <c r="I50" s="149"/>
      <c r="J50" s="149"/>
      <c r="K50" s="149"/>
      <c r="L50" s="149"/>
      <c r="M50" s="149"/>
      <c r="N50" s="149"/>
      <c r="P50" s="155"/>
      <c r="Q50" s="156"/>
      <c r="R50" s="156"/>
      <c r="S50" s="156"/>
      <c r="T50" s="156"/>
      <c r="U50" s="156"/>
      <c r="V50" s="157"/>
    </row>
    <row r="51" spans="7:22" ht="15.75" thickBot="1" x14ac:dyDescent="0.3">
      <c r="G51" s="150"/>
      <c r="H51" s="151"/>
      <c r="I51" s="151"/>
      <c r="J51" s="149"/>
      <c r="K51" s="149"/>
      <c r="L51" s="149"/>
      <c r="M51" s="149"/>
      <c r="N51" s="149"/>
      <c r="P51" s="158"/>
      <c r="Q51" s="159"/>
      <c r="R51" s="159"/>
      <c r="S51" s="159"/>
      <c r="T51" s="159"/>
      <c r="U51" s="159"/>
      <c r="V51" s="160"/>
    </row>
    <row r="52" spans="7:22" x14ac:dyDescent="0.25">
      <c r="G52" s="150"/>
      <c r="H52" s="149"/>
      <c r="I52" s="149"/>
      <c r="J52" s="149"/>
      <c r="K52" s="149"/>
      <c r="L52" s="149"/>
      <c r="M52" s="149"/>
      <c r="N52" s="149"/>
    </row>
    <row r="53" spans="7:22" x14ac:dyDescent="0.25">
      <c r="G53" s="150"/>
      <c r="H53" s="149"/>
      <c r="I53" s="149"/>
      <c r="J53" s="149"/>
      <c r="K53" s="149"/>
      <c r="L53" s="149"/>
      <c r="M53" s="149"/>
      <c r="N53" s="149"/>
    </row>
    <row r="54" spans="7:22" x14ac:dyDescent="0.25">
      <c r="G54" s="150"/>
      <c r="H54" s="150"/>
      <c r="I54" s="150"/>
      <c r="J54" s="149"/>
      <c r="K54" s="149"/>
      <c r="L54" s="149"/>
      <c r="M54" s="149"/>
      <c r="N54" s="149"/>
    </row>
    <row r="55" spans="7:22" x14ac:dyDescent="0.25">
      <c r="G55" s="150"/>
      <c r="H55" s="149"/>
      <c r="I55" s="149"/>
      <c r="J55" s="150"/>
      <c r="K55" s="150"/>
      <c r="L55" s="150"/>
      <c r="M55" s="150"/>
      <c r="N55" s="150"/>
    </row>
    <row r="56" spans="7:22" x14ac:dyDescent="0.25">
      <c r="G56" s="150"/>
      <c r="H56" s="150"/>
      <c r="I56" s="150"/>
      <c r="J56" s="150"/>
      <c r="K56" s="150"/>
      <c r="L56" s="150"/>
      <c r="M56" s="150"/>
      <c r="N56" s="150"/>
    </row>
    <row r="57" spans="7:22" x14ac:dyDescent="0.25">
      <c r="G57" s="150"/>
      <c r="H57" s="150"/>
      <c r="I57" s="150"/>
      <c r="J57" s="150"/>
      <c r="K57" s="150"/>
      <c r="L57" s="150"/>
      <c r="M57" s="150"/>
      <c r="N57" s="150"/>
    </row>
    <row r="58" spans="7:22" x14ac:dyDescent="0.25">
      <c r="G58" s="150"/>
      <c r="H58" s="150"/>
      <c r="I58" s="150"/>
      <c r="J58" s="150"/>
      <c r="K58" s="150"/>
      <c r="L58" s="150"/>
      <c r="M58" s="150"/>
      <c r="N58" s="150"/>
    </row>
  </sheetData>
  <sheetProtection algorithmName="SHA-512" hashValue="jNKtb2sedlshbLOOGl3ysWgPQVZFfRbtsulc4el4a7fpd9RSK5tzNu2l7q2pOWiD9y/HIhTZH9tBnZxXHOVvDQ==" saltValue="+Tlb+opUupkJbOFlcS/YNw==" spinCount="100000" sheet="1" objects="1" scenarios="1"/>
  <mergeCells count="8">
    <mergeCell ref="P48:V49"/>
    <mergeCell ref="A1:D1"/>
    <mergeCell ref="F1:I1"/>
    <mergeCell ref="A9:F9"/>
    <mergeCell ref="A3:A6"/>
    <mergeCell ref="B4:C4"/>
    <mergeCell ref="D4:E4"/>
    <mergeCell ref="B3:E3"/>
  </mergeCells>
  <pageMargins left="0.7" right="0.7" top="0.75" bottom="0.75" header="0.3" footer="0.3"/>
  <pageSetup paperSize="17" scale="79" orientation="landscape"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46</vt:i4>
      </vt:variant>
    </vt:vector>
  </HeadingPairs>
  <TitlesOfParts>
    <vt:vector size="56" baseType="lpstr">
      <vt:lpstr>Instructions</vt:lpstr>
      <vt:lpstr>Calcs</vt:lpstr>
      <vt:lpstr>Fishes SB0</vt:lpstr>
      <vt:lpstr>Fishes SB1</vt:lpstr>
      <vt:lpstr>Fishes SB2</vt:lpstr>
      <vt:lpstr>Sea Turtles</vt:lpstr>
      <vt:lpstr>LF Cetacean</vt:lpstr>
      <vt:lpstr>MF Cetacean</vt:lpstr>
      <vt:lpstr>HF Cetacean</vt:lpstr>
      <vt:lpstr>Phocids</vt:lpstr>
      <vt:lpstr>A_0</vt:lpstr>
      <vt:lpstr>A_1</vt:lpstr>
      <vt:lpstr>A_2</vt:lpstr>
      <vt:lpstr>A_3</vt:lpstr>
      <vt:lpstr>Acorr</vt:lpstr>
      <vt:lpstr>alpha</vt:lpstr>
      <vt:lpstr>Arms</vt:lpstr>
      <vt:lpstr>Bcorr</vt:lpstr>
      <vt:lpstr>betased</vt:lpstr>
      <vt:lpstr>Brms</vt:lpstr>
      <vt:lpstr>c_sed</vt:lpstr>
      <vt:lpstr>costheta</vt:lpstr>
      <vt:lpstr>costhetac</vt:lpstr>
      <vt:lpstr>costhtea</vt:lpstr>
      <vt:lpstr>csed</vt:lpstr>
      <vt:lpstr>cw</vt:lpstr>
      <vt:lpstr>D</vt:lpstr>
      <vt:lpstr>dlog10R</vt:lpstr>
      <vt:lpstr>epsilon</vt:lpstr>
      <vt:lpstr>eta</vt:lpstr>
      <vt:lpstr>FKHZ</vt:lpstr>
      <vt:lpstr>gamma</vt:lpstr>
      <vt:lpstr>H</vt:lpstr>
      <vt:lpstr>Lchh</vt:lpstr>
      <vt:lpstr>ln_10</vt:lpstr>
      <vt:lpstr>Nstrikes</vt:lpstr>
      <vt:lpstr>pi</vt:lpstr>
      <vt:lpstr>Calcs!Print_Area</vt:lpstr>
      <vt:lpstr>Instructions!Print_Area</vt:lpstr>
      <vt:lpstr>R_1</vt:lpstr>
      <vt:lpstr>R_c</vt:lpstr>
      <vt:lpstr>Rchh</vt:lpstr>
      <vt:lpstr>rhosed</vt:lpstr>
      <vt:lpstr>rhow</vt:lpstr>
      <vt:lpstr>S_2</vt:lpstr>
      <vt:lpstr>SEL_1</vt:lpstr>
      <vt:lpstr>sintheta</vt:lpstr>
      <vt:lpstr>sinthetac</vt:lpstr>
      <vt:lpstr>Sw</vt:lpstr>
      <vt:lpstr>tantheta</vt:lpstr>
      <vt:lpstr>thetaMach</vt:lpstr>
      <vt:lpstr>thetarad</vt:lpstr>
      <vt:lpstr>Tw</vt:lpstr>
      <vt:lpstr>Vsed</vt:lpstr>
      <vt:lpstr>Vw</vt:lpstr>
      <vt:lpstr>wsed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2020-01-30T13:44:44Z</dcterms:modified>
</cp:coreProperties>
</file>